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9720" windowHeight="7320" activeTab="0"/>
  </bookViews>
  <sheets>
    <sheet name="Ventes" sheetId="1" r:id="rId1"/>
    <sheet name="Achats" sheetId="2" r:id="rId2"/>
    <sheet name="TVA" sheetId="3" r:id="rId3"/>
    <sheet name="Encaissements" sheetId="4" r:id="rId4"/>
    <sheet name="Décaissements" sheetId="5" r:id="rId5"/>
    <sheet name="Trésorerie" sheetId="6" r:id="rId6"/>
    <sheet name="Bilan" sheetId="7" r:id="rId7"/>
    <sheet name="Tableau de résultat" sheetId="8" r:id="rId8"/>
  </sheets>
  <definedNames>
    <definedName name="pu" localSheetId="1">'Achats'!#REF!</definedName>
    <definedName name="pu" localSheetId="2">'TVA'!#REF!</definedName>
    <definedName name="pu" localSheetId="0">'Ventes'!$C$3</definedName>
    <definedName name="pu">#REF!</definedName>
    <definedName name="qte" localSheetId="1">'Achats'!#REF!</definedName>
    <definedName name="qte" localSheetId="2">'TVA'!#REF!</definedName>
    <definedName name="qte" localSheetId="0">'Ventes'!$C$4</definedName>
    <definedName name="qte">#REF!</definedName>
    <definedName name="tva" localSheetId="1">'Achats'!#REF!</definedName>
    <definedName name="tva" localSheetId="2">'TVA'!#REF!</definedName>
    <definedName name="tva" localSheetId="0">'Ventes'!$C$5</definedName>
    <definedName name="tva">#REF!</definedName>
    <definedName name="txh" localSheetId="1">'Achats'!#REF!</definedName>
    <definedName name="txh" localSheetId="2">'TVA'!#REF!</definedName>
    <definedName name="txh" localSheetId="0">'Ventes'!$C$2</definedName>
    <definedName name="txh">#REF!</definedName>
  </definedNames>
  <calcPr fullCalcOnLoad="1"/>
</workbook>
</file>

<file path=xl/comments1.xml><?xml version="1.0" encoding="utf-8"?>
<comments xmlns="http://schemas.openxmlformats.org/spreadsheetml/2006/main">
  <authors>
    <author>technicien</author>
  </authors>
  <commentList>
    <comment ref="H14" authorId="0">
      <text>
        <r>
          <rPr>
            <b/>
            <sz val="9"/>
            <rFont val="Tahoma"/>
            <family val="0"/>
          </rPr>
          <t>Compte de résultat : Produits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technicien</author>
  </authors>
  <commentList>
    <comment ref="H8" authorId="0">
      <text>
        <r>
          <rPr>
            <b/>
            <sz val="9"/>
            <rFont val="Tahoma"/>
            <family val="0"/>
          </rPr>
          <t>Compte de résultat : Charges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technicien</author>
  </authors>
  <commentList>
    <comment ref="H10" authorId="0">
      <text>
        <r>
          <rPr>
            <b/>
            <sz val="9"/>
            <rFont val="Tahoma"/>
            <family val="0"/>
          </rPr>
          <t>Bilan - Passif : Dettes fiscales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technicien</author>
  </authors>
  <commentList>
    <comment ref="H7" authorId="0">
      <text>
        <r>
          <rPr>
            <b/>
            <sz val="9"/>
            <rFont val="Tahoma"/>
            <family val="0"/>
          </rPr>
          <t>Trésorerie passive.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<sst xmlns="http://schemas.openxmlformats.org/spreadsheetml/2006/main" count="153" uniqueCount="106">
  <si>
    <t>Mois</t>
  </si>
  <si>
    <t>Taux de TVA</t>
  </si>
  <si>
    <t>Ventes HT</t>
  </si>
  <si>
    <t>Ventes TTC</t>
  </si>
  <si>
    <t>Achats HT</t>
  </si>
  <si>
    <t>Achats TTC</t>
  </si>
  <si>
    <t>TVA déd sur ABS</t>
  </si>
  <si>
    <t>TVA à payer</t>
  </si>
  <si>
    <t>Crédit à reporter</t>
  </si>
  <si>
    <t>Clients</t>
  </si>
  <si>
    <t>Totaux</t>
  </si>
  <si>
    <t>Fournisseurs</t>
  </si>
  <si>
    <t>TVA</t>
  </si>
  <si>
    <t>Salaires</t>
  </si>
  <si>
    <t>Trésorerie initiale</t>
  </si>
  <si>
    <t>Encaissements</t>
  </si>
  <si>
    <t>Décaissements</t>
  </si>
  <si>
    <t>Trésorerie finale</t>
  </si>
  <si>
    <t>Commissions</t>
  </si>
  <si>
    <t>TVA cession immobilisations</t>
  </si>
  <si>
    <t>TVA déd sur charges</t>
  </si>
  <si>
    <t>TVA déd sur immobilisations</t>
  </si>
  <si>
    <t>TVA collectée / ventes</t>
  </si>
  <si>
    <t>Cumuls</t>
  </si>
  <si>
    <t>Report Crédit de TVA</t>
  </si>
  <si>
    <t>Quantité</t>
  </si>
  <si>
    <t>Prix unitaire</t>
  </si>
  <si>
    <t>Janvier</t>
  </si>
  <si>
    <t>Février</t>
  </si>
  <si>
    <t>Mars</t>
  </si>
  <si>
    <t>Avril</t>
  </si>
  <si>
    <t>Mai</t>
  </si>
  <si>
    <t>Juin</t>
  </si>
  <si>
    <t>Juillet</t>
  </si>
  <si>
    <t>Taux achat</t>
  </si>
  <si>
    <t>Dividendes</t>
  </si>
  <si>
    <t>Remboursement PDG</t>
  </si>
  <si>
    <t>Actif Immobilisé</t>
  </si>
  <si>
    <t>Immobilisations incorporelles</t>
  </si>
  <si>
    <t>Immobilisations corporelles</t>
  </si>
  <si>
    <t>Amortissements</t>
  </si>
  <si>
    <t>Capital</t>
  </si>
  <si>
    <t>Réserves</t>
  </si>
  <si>
    <t>Résultat</t>
  </si>
  <si>
    <t>Disponibilités</t>
  </si>
  <si>
    <t>Emprunts et dettes financières diverses</t>
  </si>
  <si>
    <t>Dettes Fiscales et sociales</t>
  </si>
  <si>
    <t>Variation de stock</t>
  </si>
  <si>
    <t>Autre charges</t>
  </si>
  <si>
    <t>TOTAL clients</t>
  </si>
  <si>
    <t>Charges de Personnel</t>
  </si>
  <si>
    <t>Total charges</t>
  </si>
  <si>
    <t>Total produits</t>
  </si>
  <si>
    <t>Résultat (bénéfice)</t>
  </si>
  <si>
    <t>Résultat (Perte)</t>
  </si>
  <si>
    <t>Total</t>
  </si>
  <si>
    <t>ACTIF</t>
  </si>
  <si>
    <t>PASSIF</t>
  </si>
  <si>
    <t>Trésorerie passive</t>
  </si>
  <si>
    <t>CHARGES HT</t>
  </si>
  <si>
    <t>PRODUITS HT</t>
  </si>
  <si>
    <t>Production stockée</t>
  </si>
  <si>
    <t>Charges financières</t>
  </si>
  <si>
    <t>Dettes Diverses</t>
  </si>
  <si>
    <t>Production vendue</t>
  </si>
  <si>
    <t>Achats matières premières</t>
  </si>
  <si>
    <t>Coeff saisonniers  mensuels</t>
  </si>
  <si>
    <t>Cumuls HT</t>
  </si>
  <si>
    <t>Cumuls TTC</t>
  </si>
  <si>
    <t>Total général</t>
  </si>
  <si>
    <t>Société FRE - Budget des ventes</t>
  </si>
  <si>
    <t>Société FRE - Budget des achats</t>
  </si>
  <si>
    <t>Société FRE - Budget de TVA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</si>
  <si>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</si>
  <si>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</si>
  <si>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</si>
  <si>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</si>
  <si>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</si>
  <si>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</si>
  <si>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</si>
  <si>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</si>
  <si>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</si>
  <si>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</si>
  <si>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</si>
  <si>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</si>
  <si>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Achats Juillet</t>
  </si>
  <si>
    <t>Société FRE - Budget des encaissements</t>
  </si>
  <si>
    <t>Société FRE - Budget des décaissements</t>
  </si>
  <si>
    <t>Charges sociales sur salaires</t>
  </si>
  <si>
    <t>Charges sociales commissions</t>
  </si>
  <si>
    <t>Charges externes</t>
  </si>
  <si>
    <t>Acquisitions d'immobilisations</t>
  </si>
  <si>
    <t>Annuités d'emprunts</t>
  </si>
  <si>
    <t>Impôt sur les bénéfices</t>
  </si>
  <si>
    <t>Société FRE - Bilan au 30/06/N+1</t>
  </si>
  <si>
    <t>Société FRE - Tableau de résultat au 30/06/N+1</t>
  </si>
  <si>
    <t>Actif circulant</t>
  </si>
  <si>
    <t>Matières premières</t>
  </si>
  <si>
    <t>Produits finis</t>
  </si>
  <si>
    <t>Dettes fournisseurs (ABS)</t>
  </si>
  <si>
    <t>Dettes sur immobilisations</t>
  </si>
  <si>
    <t xml:space="preserve">Capitaux propres </t>
  </si>
  <si>
    <t>Dettes</t>
  </si>
  <si>
    <t>Emprunts et dettes établissements crédit</t>
  </si>
  <si>
    <t>Charges sociales sur commissions</t>
  </si>
  <si>
    <t>Dotations aux amortissements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</si>
</sst>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0.0"/>
    <numFmt numFmtId="174" formatCode="#,##0.0\ _€"/>
    <numFmt numFmtId="175" formatCode="#,##0\ _€"/>
    <numFmt numFmtId="176" formatCode="#,##0.00\ &quot;F&quot;"/>
    <numFmt numFmtId="177" formatCode="#,##0.00\ _F"/>
    <numFmt numFmtId="178" formatCode="0.000"/>
    <numFmt numFmtId="179" formatCode="0.00_ ;[Red]\-0.00\ "/>
    <numFmt numFmtId="180" formatCode="_-* #,##0.00\ [$€]_-;\-* #,##0.00\ [$€]_-;_-* &quot;-&quot;??\ [$€]_-;_-@_-"/>
    <numFmt numFmtId="181" formatCode="_-* #,##0.00\ [$€-1]_-;\-* #,##0.00\ [$€-1]_-;_-* &quot;-&quot;??\ [$€-1]_-;_-@_-"/>
    <numFmt numFmtId="182" formatCode="#,##0.00_ ;\-#,##0.0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0070C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80" fontId="0" fillId="0" borderId="0" applyFont="0" applyFill="0" applyBorder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10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10" borderId="16" xfId="0" applyFont="1" applyFill="1" applyBorder="1" applyAlignment="1">
      <alignment horizontal="center"/>
    </xf>
    <xf numFmtId="4" fontId="1" fillId="33" borderId="17" xfId="46" applyNumberFormat="1" applyFont="1" applyFill="1" applyBorder="1" applyAlignment="1">
      <alignment/>
    </xf>
    <xf numFmtId="4" fontId="1" fillId="33" borderId="18" xfId="46" applyNumberFormat="1" applyFont="1" applyFill="1" applyBorder="1" applyAlignment="1">
      <alignment/>
    </xf>
    <xf numFmtId="4" fontId="1" fillId="0" borderId="17" xfId="46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10" borderId="20" xfId="0" applyFont="1" applyFill="1" applyBorder="1" applyAlignment="1">
      <alignment horizontal="center"/>
    </xf>
    <xf numFmtId="4" fontId="1" fillId="33" borderId="21" xfId="46" applyNumberFormat="1" applyFont="1" applyFill="1" applyBorder="1" applyAlignment="1">
      <alignment/>
    </xf>
    <xf numFmtId="4" fontId="1" fillId="33" borderId="22" xfId="46" applyNumberFormat="1" applyFont="1" applyFill="1" applyBorder="1" applyAlignment="1">
      <alignment/>
    </xf>
    <xf numFmtId="0" fontId="2" fillId="10" borderId="23" xfId="0" applyFont="1" applyFill="1" applyBorder="1" applyAlignment="1">
      <alignment horizontal="center"/>
    </xf>
    <xf numFmtId="4" fontId="1" fillId="33" borderId="24" xfId="46" applyNumberFormat="1" applyFont="1" applyFill="1" applyBorder="1" applyAlignment="1">
      <alignment/>
    </xf>
    <xf numFmtId="4" fontId="1" fillId="33" borderId="25" xfId="46" applyNumberFormat="1" applyFont="1" applyFill="1" applyBorder="1" applyAlignment="1">
      <alignment/>
    </xf>
    <xf numFmtId="4" fontId="1" fillId="0" borderId="24" xfId="46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2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33" borderId="16" xfId="46" applyNumberFormat="1" applyFont="1" applyFill="1" applyBorder="1" applyAlignment="1">
      <alignment/>
    </xf>
    <xf numFmtId="4" fontId="1" fillId="33" borderId="20" xfId="46" applyNumberFormat="1" applyFont="1" applyFill="1" applyBorder="1" applyAlignment="1">
      <alignment/>
    </xf>
    <xf numFmtId="4" fontId="1" fillId="33" borderId="23" xfId="46" applyNumberFormat="1" applyFont="1" applyFill="1" applyBorder="1" applyAlignment="1">
      <alignment/>
    </xf>
    <xf numFmtId="4" fontId="1" fillId="8" borderId="23" xfId="46" applyNumberFormat="1" applyFont="1" applyFill="1" applyBorder="1" applyAlignment="1">
      <alignment/>
    </xf>
    <xf numFmtId="4" fontId="1" fillId="8" borderId="16" xfId="46" applyNumberFormat="1" applyFont="1" applyFill="1" applyBorder="1" applyAlignment="1">
      <alignment/>
    </xf>
    <xf numFmtId="4" fontId="1" fillId="8" borderId="20" xfId="46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33" borderId="28" xfId="46" applyNumberFormat="1" applyFont="1" applyFill="1" applyBorder="1" applyAlignment="1">
      <alignment/>
    </xf>
    <xf numFmtId="4" fontId="1" fillId="0" borderId="29" xfId="46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171" fontId="1" fillId="0" borderId="0" xfId="46" applyFont="1" applyFill="1" applyBorder="1" applyAlignment="1">
      <alignment/>
    </xf>
    <xf numFmtId="171" fontId="3" fillId="0" borderId="0" xfId="46" applyFont="1" applyFill="1" applyBorder="1" applyAlignment="1">
      <alignment/>
    </xf>
    <xf numFmtId="171" fontId="2" fillId="0" borderId="0" xfId="46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4" fontId="2" fillId="0" borderId="10" xfId="46" applyNumberFormat="1" applyFont="1" applyBorder="1" applyAlignment="1">
      <alignment/>
    </xf>
    <xf numFmtId="4" fontId="2" fillId="0" borderId="32" xfId="46" applyNumberFormat="1" applyFont="1" applyBorder="1" applyAlignment="1">
      <alignment/>
    </xf>
    <xf numFmtId="4" fontId="2" fillId="0" borderId="33" xfId="46" applyNumberFormat="1" applyFont="1" applyBorder="1" applyAlignment="1">
      <alignment/>
    </xf>
    <xf numFmtId="4" fontId="1" fillId="0" borderId="11" xfId="46" applyNumberFormat="1" applyFont="1" applyBorder="1" applyAlignment="1">
      <alignment/>
    </xf>
    <xf numFmtId="4" fontId="1" fillId="0" borderId="34" xfId="46" applyNumberFormat="1" applyFont="1" applyBorder="1" applyAlignment="1">
      <alignment/>
    </xf>
    <xf numFmtId="4" fontId="1" fillId="0" borderId="25" xfId="46" applyNumberFormat="1" applyFont="1" applyBorder="1" applyAlignment="1">
      <alignment/>
    </xf>
    <xf numFmtId="4" fontId="1" fillId="0" borderId="18" xfId="46" applyNumberFormat="1" applyFont="1" applyBorder="1" applyAlignment="1">
      <alignment/>
    </xf>
    <xf numFmtId="4" fontId="1" fillId="0" borderId="22" xfId="46" applyNumberFormat="1" applyFont="1" applyBorder="1" applyAlignment="1">
      <alignment/>
    </xf>
    <xf numFmtId="4" fontId="1" fillId="0" borderId="12" xfId="46" applyNumberFormat="1" applyFont="1" applyBorder="1" applyAlignment="1">
      <alignment/>
    </xf>
    <xf numFmtId="4" fontId="1" fillId="0" borderId="19" xfId="46" applyNumberFormat="1" applyFont="1" applyBorder="1" applyAlignment="1">
      <alignment/>
    </xf>
    <xf numFmtId="4" fontId="1" fillId="0" borderId="35" xfId="46" applyNumberFormat="1" applyFont="1" applyBorder="1" applyAlignment="1">
      <alignment/>
    </xf>
    <xf numFmtId="4" fontId="1" fillId="13" borderId="12" xfId="46" applyNumberFormat="1" applyFont="1" applyFill="1" applyBorder="1" applyAlignment="1">
      <alignment/>
    </xf>
    <xf numFmtId="4" fontId="1" fillId="8" borderId="23" xfId="46" applyNumberFormat="1" applyFont="1" applyFill="1" applyBorder="1" applyAlignment="1">
      <alignment/>
    </xf>
    <xf numFmtId="4" fontId="1" fillId="8" borderId="16" xfId="46" applyNumberFormat="1" applyFont="1" applyFill="1" applyBorder="1" applyAlignment="1">
      <alignment/>
    </xf>
    <xf numFmtId="4" fontId="1" fillId="13" borderId="23" xfId="0" applyNumberFormat="1" applyFont="1" applyFill="1" applyBorder="1" applyAlignment="1">
      <alignment/>
    </xf>
    <xf numFmtId="4" fontId="1" fillId="13" borderId="28" xfId="46" applyNumberFormat="1" applyFont="1" applyFill="1" applyBorder="1" applyAlignment="1">
      <alignment/>
    </xf>
    <xf numFmtId="4" fontId="1" fillId="13" borderId="20" xfId="46" applyNumberFormat="1" applyFont="1" applyFill="1" applyBorder="1" applyAlignment="1">
      <alignment/>
    </xf>
    <xf numFmtId="0" fontId="2" fillId="10" borderId="23" xfId="0" applyFont="1" applyFill="1" applyBorder="1" applyAlignment="1">
      <alignment horizontal="right"/>
    </xf>
    <xf numFmtId="0" fontId="1" fillId="2" borderId="25" xfId="0" applyFont="1" applyFill="1" applyBorder="1" applyAlignment="1">
      <alignment/>
    </xf>
    <xf numFmtId="0" fontId="1" fillId="8" borderId="36" xfId="0" applyFont="1" applyFill="1" applyBorder="1" applyAlignment="1">
      <alignment/>
    </xf>
    <xf numFmtId="4" fontId="1" fillId="0" borderId="37" xfId="46" applyNumberFormat="1" applyFont="1" applyBorder="1" applyAlignment="1">
      <alignment/>
    </xf>
    <xf numFmtId="4" fontId="1" fillId="0" borderId="36" xfId="46" applyNumberFormat="1" applyFont="1" applyBorder="1" applyAlignment="1">
      <alignment/>
    </xf>
    <xf numFmtId="4" fontId="1" fillId="0" borderId="38" xfId="46" applyNumberFormat="1" applyFont="1" applyBorder="1" applyAlignment="1">
      <alignment/>
    </xf>
    <xf numFmtId="0" fontId="1" fillId="8" borderId="23" xfId="0" applyFont="1" applyFill="1" applyBorder="1" applyAlignment="1">
      <alignment/>
    </xf>
    <xf numFmtId="4" fontId="1" fillId="13" borderId="23" xfId="46" applyNumberFormat="1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1" fillId="0" borderId="0" xfId="46" applyFont="1" applyFill="1" applyBorder="1" applyAlignment="1">
      <alignment vertical="center"/>
    </xf>
    <xf numFmtId="171" fontId="1" fillId="0" borderId="0" xfId="46" applyFont="1" applyBorder="1" applyAlignment="1">
      <alignment vertical="center"/>
    </xf>
    <xf numFmtId="0" fontId="2" fillId="10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2" fillId="10" borderId="23" xfId="0" applyFont="1" applyFill="1" applyBorder="1" applyAlignment="1">
      <alignment horizontal="center" vertical="center"/>
    </xf>
    <xf numFmtId="4" fontId="1" fillId="0" borderId="11" xfId="46" applyNumberFormat="1" applyFont="1" applyBorder="1" applyAlignment="1">
      <alignment vertical="center"/>
    </xf>
    <xf numFmtId="4" fontId="1" fillId="2" borderId="12" xfId="46" applyNumberFormat="1" applyFont="1" applyFill="1" applyBorder="1" applyAlignment="1">
      <alignment vertical="center"/>
    </xf>
    <xf numFmtId="0" fontId="2" fillId="10" borderId="16" xfId="0" applyFont="1" applyFill="1" applyBorder="1" applyAlignment="1">
      <alignment horizontal="center" vertical="center"/>
    </xf>
    <xf numFmtId="4" fontId="1" fillId="0" borderId="17" xfId="46" applyNumberFormat="1" applyFont="1" applyBorder="1" applyAlignment="1">
      <alignment vertical="center"/>
    </xf>
    <xf numFmtId="4" fontId="1" fillId="2" borderId="19" xfId="46" applyNumberFormat="1" applyFont="1" applyFill="1" applyBorder="1" applyAlignment="1">
      <alignment vertical="center"/>
    </xf>
    <xf numFmtId="4" fontId="1" fillId="0" borderId="24" xfId="46" applyNumberFormat="1" applyFont="1" applyBorder="1" applyAlignment="1">
      <alignment vertical="center"/>
    </xf>
    <xf numFmtId="0" fontId="2" fillId="10" borderId="20" xfId="0" applyFont="1" applyFill="1" applyBorder="1" applyAlignment="1">
      <alignment horizontal="center" vertical="center"/>
    </xf>
    <xf numFmtId="4" fontId="1" fillId="0" borderId="21" xfId="46" applyNumberFormat="1" applyFont="1" applyBorder="1" applyAlignment="1">
      <alignment vertical="center"/>
    </xf>
    <xf numFmtId="4" fontId="1" fillId="13" borderId="35" xfId="46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0" fontId="1" fillId="0" borderId="0" xfId="44" applyFont="1" applyBorder="1" applyAlignment="1">
      <alignment/>
    </xf>
    <xf numFmtId="180" fontId="1" fillId="0" borderId="0" xfId="44" applyFont="1" applyAlignment="1">
      <alignment/>
    </xf>
    <xf numFmtId="0" fontId="43" fillId="0" borderId="0" xfId="0" applyFont="1" applyFill="1" applyBorder="1" applyAlignment="1">
      <alignment vertical="center"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3" fillId="33" borderId="36" xfId="0" applyFont="1" applyFill="1" applyBorder="1" applyAlignment="1">
      <alignment/>
    </xf>
    <xf numFmtId="4" fontId="3" fillId="0" borderId="42" xfId="44" applyNumberFormat="1" applyFont="1" applyBorder="1" applyAlignment="1">
      <alignment/>
    </xf>
    <xf numFmtId="4" fontId="3" fillId="0" borderId="43" xfId="46" applyNumberFormat="1" applyFont="1" applyBorder="1" applyAlignment="1">
      <alignment/>
    </xf>
    <xf numFmtId="4" fontId="1" fillId="0" borderId="43" xfId="46" applyNumberFormat="1" applyFont="1" applyBorder="1" applyAlignment="1">
      <alignment/>
    </xf>
    <xf numFmtId="4" fontId="1" fillId="0" borderId="43" xfId="44" applyNumberFormat="1" applyFont="1" applyBorder="1" applyAlignment="1">
      <alignment/>
    </xf>
    <xf numFmtId="4" fontId="4" fillId="33" borderId="36" xfId="44" applyNumberFormat="1" applyFont="1" applyFill="1" applyBorder="1" applyAlignment="1">
      <alignment/>
    </xf>
    <xf numFmtId="4" fontId="3" fillId="0" borderId="42" xfId="46" applyNumberFormat="1" applyFont="1" applyBorder="1" applyAlignment="1">
      <alignment/>
    </xf>
    <xf numFmtId="0" fontId="2" fillId="8" borderId="13" xfId="0" applyFont="1" applyFill="1" applyBorder="1" applyAlignment="1">
      <alignment horizontal="right"/>
    </xf>
    <xf numFmtId="0" fontId="2" fillId="8" borderId="44" xfId="0" applyFont="1" applyFill="1" applyBorder="1" applyAlignment="1">
      <alignment horizontal="right"/>
    </xf>
    <xf numFmtId="4" fontId="2" fillId="2" borderId="23" xfId="44" applyNumberFormat="1" applyFont="1" applyFill="1" applyBorder="1" applyAlignment="1">
      <alignment/>
    </xf>
    <xf numFmtId="4" fontId="5" fillId="13" borderId="43" xfId="46" applyNumberFormat="1" applyFont="1" applyFill="1" applyBorder="1" applyAlignment="1">
      <alignment/>
    </xf>
    <xf numFmtId="4" fontId="1" fillId="0" borderId="43" xfId="46" applyNumberFormat="1" applyFont="1" applyFill="1" applyBorder="1" applyAlignment="1">
      <alignment/>
    </xf>
    <xf numFmtId="182" fontId="1" fillId="0" borderId="39" xfId="44" applyNumberFormat="1" applyFont="1" applyBorder="1" applyAlignment="1">
      <alignment/>
    </xf>
    <xf numFmtId="182" fontId="1" fillId="0" borderId="40" xfId="44" applyNumberFormat="1" applyFont="1" applyBorder="1" applyAlignment="1">
      <alignment/>
    </xf>
    <xf numFmtId="182" fontId="1" fillId="0" borderId="42" xfId="44" applyNumberFormat="1" applyFont="1" applyBorder="1" applyAlignment="1">
      <alignment/>
    </xf>
    <xf numFmtId="182" fontId="1" fillId="0" borderId="43" xfId="44" applyNumberFormat="1" applyFont="1" applyBorder="1" applyAlignment="1">
      <alignment/>
    </xf>
    <xf numFmtId="0" fontId="1" fillId="0" borderId="42" xfId="0" applyFont="1" applyBorder="1" applyAlignment="1">
      <alignment/>
    </xf>
    <xf numFmtId="0" fontId="2" fillId="8" borderId="23" xfId="0" applyFont="1" applyFill="1" applyBorder="1" applyAlignment="1">
      <alignment horizontal="right"/>
    </xf>
    <xf numFmtId="182" fontId="1" fillId="8" borderId="16" xfId="44" applyNumberFormat="1" applyFont="1" applyFill="1" applyBorder="1" applyAlignment="1">
      <alignment/>
    </xf>
    <xf numFmtId="182" fontId="1" fillId="8" borderId="23" xfId="44" applyNumberFormat="1" applyFont="1" applyFill="1" applyBorder="1" applyAlignment="1">
      <alignment/>
    </xf>
    <xf numFmtId="182" fontId="1" fillId="2" borderId="44" xfId="44" applyNumberFormat="1" applyFont="1" applyFill="1" applyBorder="1" applyAlignment="1">
      <alignment/>
    </xf>
    <xf numFmtId="182" fontId="1" fillId="2" borderId="23" xfId="44" applyNumberFormat="1" applyFont="1" applyFill="1" applyBorder="1" applyAlignment="1">
      <alignment/>
    </xf>
    <xf numFmtId="0" fontId="2" fillId="2" borderId="23" xfId="0" applyFont="1" applyFill="1" applyBorder="1" applyAlignment="1">
      <alignment horizontal="right"/>
    </xf>
    <xf numFmtId="182" fontId="1" fillId="13" borderId="0" xfId="44" applyNumberFormat="1" applyFont="1" applyFill="1" applyBorder="1" applyAlignment="1">
      <alignment/>
    </xf>
    <xf numFmtId="182" fontId="1" fillId="13" borderId="43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1" fillId="0" borderId="33" xfId="0" applyNumberFormat="1" applyFont="1" applyFill="1" applyBorder="1" applyAlignment="1">
      <alignment horizontal="center"/>
    </xf>
    <xf numFmtId="171" fontId="1" fillId="0" borderId="34" xfId="46" applyFont="1" applyFill="1" applyBorder="1" applyAlignment="1">
      <alignment horizontal="center"/>
    </xf>
    <xf numFmtId="10" fontId="1" fillId="0" borderId="3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" fontId="1" fillId="0" borderId="10" xfId="46" applyNumberFormat="1" applyFont="1" applyFill="1" applyBorder="1" applyAlignment="1">
      <alignment/>
    </xf>
    <xf numFmtId="4" fontId="1" fillId="0" borderId="32" xfId="46" applyNumberFormat="1" applyFont="1" applyFill="1" applyBorder="1" applyAlignment="1">
      <alignment/>
    </xf>
    <xf numFmtId="4" fontId="1" fillId="0" borderId="33" xfId="46" applyNumberFormat="1" applyFont="1" applyFill="1" applyBorder="1" applyAlignment="1">
      <alignment/>
    </xf>
    <xf numFmtId="4" fontId="1" fillId="0" borderId="11" xfId="46" applyNumberFormat="1" applyFont="1" applyFill="1" applyBorder="1" applyAlignment="1">
      <alignment/>
    </xf>
    <xf numFmtId="4" fontId="1" fillId="0" borderId="29" xfId="46" applyNumberFormat="1" applyFont="1" applyFill="1" applyBorder="1" applyAlignment="1">
      <alignment/>
    </xf>
    <xf numFmtId="4" fontId="1" fillId="0" borderId="29" xfId="46" applyNumberFormat="1" applyFont="1" applyFill="1" applyBorder="1" applyAlignment="1">
      <alignment/>
    </xf>
    <xf numFmtId="4" fontId="1" fillId="0" borderId="34" xfId="46" applyNumberFormat="1" applyFont="1" applyFill="1" applyBorder="1" applyAlignment="1">
      <alignment/>
    </xf>
    <xf numFmtId="4" fontId="1" fillId="0" borderId="12" xfId="46" applyNumberFormat="1" applyFont="1" applyFill="1" applyBorder="1" applyAlignment="1">
      <alignment/>
    </xf>
    <xf numFmtId="4" fontId="1" fillId="0" borderId="19" xfId="46" applyNumberFormat="1" applyFont="1" applyFill="1" applyBorder="1" applyAlignment="1">
      <alignment/>
    </xf>
    <xf numFmtId="4" fontId="1" fillId="0" borderId="35" xfId="46" applyNumberFormat="1" applyFont="1" applyFill="1" applyBorder="1" applyAlignment="1">
      <alignment/>
    </xf>
    <xf numFmtId="4" fontId="1" fillId="0" borderId="10" xfId="46" applyNumberFormat="1" applyFont="1" applyFill="1" applyBorder="1" applyAlignment="1">
      <alignment/>
    </xf>
    <xf numFmtId="4" fontId="1" fillId="0" borderId="32" xfId="46" applyNumberFormat="1" applyFont="1" applyFill="1" applyBorder="1" applyAlignment="1">
      <alignment/>
    </xf>
    <xf numFmtId="4" fontId="1" fillId="0" borderId="22" xfId="46" applyNumberFormat="1" applyFont="1" applyFill="1" applyBorder="1" applyAlignment="1">
      <alignment/>
    </xf>
    <xf numFmtId="4" fontId="1" fillId="0" borderId="0" xfId="46" applyNumberFormat="1" applyFont="1" applyFill="1" applyBorder="1" applyAlignment="1">
      <alignment/>
    </xf>
    <xf numFmtId="4" fontId="1" fillId="0" borderId="23" xfId="46" applyNumberFormat="1" applyFont="1" applyFill="1" applyBorder="1" applyAlignment="1">
      <alignment/>
    </xf>
    <xf numFmtId="4" fontId="1" fillId="0" borderId="21" xfId="46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4" fontId="1" fillId="0" borderId="18" xfId="46" applyNumberFormat="1" applyFont="1" applyFill="1" applyBorder="1" applyAlignment="1">
      <alignment/>
    </xf>
    <xf numFmtId="4" fontId="1" fillId="0" borderId="25" xfId="46" applyNumberFormat="1" applyFont="1" applyFill="1" applyBorder="1" applyAlignment="1">
      <alignment/>
    </xf>
    <xf numFmtId="4" fontId="1" fillId="0" borderId="24" xfId="46" applyNumberFormat="1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/>
    </xf>
    <xf numFmtId="182" fontId="1" fillId="0" borderId="40" xfId="44" applyNumberFormat="1" applyFont="1" applyFill="1" applyBorder="1" applyAlignment="1">
      <alignment/>
    </xf>
    <xf numFmtId="182" fontId="1" fillId="0" borderId="43" xfId="44" applyNumberFormat="1" applyFont="1" applyFill="1" applyBorder="1" applyAlignment="1">
      <alignment/>
    </xf>
    <xf numFmtId="0" fontId="43" fillId="9" borderId="45" xfId="0" applyFont="1" applyFill="1" applyBorder="1" applyAlignment="1">
      <alignment horizontal="center"/>
    </xf>
    <xf numFmtId="0" fontId="43" fillId="9" borderId="46" xfId="0" applyFont="1" applyFill="1" applyBorder="1" applyAlignment="1">
      <alignment horizontal="center"/>
    </xf>
    <xf numFmtId="0" fontId="43" fillId="9" borderId="4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9" borderId="13" xfId="0" applyFont="1" applyFill="1" applyBorder="1" applyAlignment="1">
      <alignment horizontal="center"/>
    </xf>
    <xf numFmtId="0" fontId="43" fillId="9" borderId="16" xfId="0" applyFont="1" applyFill="1" applyBorder="1" applyAlignment="1">
      <alignment horizontal="center"/>
    </xf>
    <xf numFmtId="0" fontId="43" fillId="9" borderId="20" xfId="0" applyFont="1" applyFill="1" applyBorder="1" applyAlignment="1">
      <alignment horizontal="center"/>
    </xf>
    <xf numFmtId="0" fontId="43" fillId="9" borderId="13" xfId="0" applyFont="1" applyFill="1" applyBorder="1" applyAlignment="1">
      <alignment horizontal="center" vertical="center"/>
    </xf>
    <xf numFmtId="0" fontId="43" fillId="9" borderId="16" xfId="0" applyFont="1" applyFill="1" applyBorder="1" applyAlignment="1">
      <alignment horizontal="center" vertical="center"/>
    </xf>
    <xf numFmtId="0" fontId="43" fillId="9" borderId="20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1"/>
  <sheetViews>
    <sheetView showGridLines="0" tabSelected="1" zoomScalePageLayoutView="0" workbookViewId="0" topLeftCell="A1">
      <selection activeCell="H14" sqref="H14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spans="6:9" ht="15.75" thickBot="1">
      <c r="F1" s="19"/>
      <c r="G1" s="19"/>
      <c r="H1" s="19"/>
      <c r="I1" s="19"/>
    </row>
    <row r="2" spans="2:9" ht="15">
      <c r="B2" s="24" t="s">
        <v>34</v>
      </c>
      <c r="C2" s="151">
        <v>0.4</v>
      </c>
      <c r="D2" s="3"/>
      <c r="E2" s="4"/>
      <c r="F2" s="45"/>
      <c r="G2" s="148"/>
      <c r="H2" s="149"/>
      <c r="I2" s="19"/>
    </row>
    <row r="3" spans="2:9" ht="15">
      <c r="B3" s="25" t="s">
        <v>26</v>
      </c>
      <c r="C3" s="152">
        <v>75</v>
      </c>
      <c r="E3" s="4"/>
      <c r="F3" s="45"/>
      <c r="G3" s="150"/>
      <c r="H3" s="149"/>
      <c r="I3" s="19"/>
    </row>
    <row r="4" spans="2:8" ht="15">
      <c r="B4" s="25" t="s">
        <v>25</v>
      </c>
      <c r="C4" s="152">
        <v>72000</v>
      </c>
      <c r="E4" s="4"/>
      <c r="F4" s="2"/>
      <c r="G4" s="3"/>
      <c r="H4" s="5"/>
    </row>
    <row r="5" spans="2:8" ht="15.75" thickBot="1">
      <c r="B5" s="26" t="s">
        <v>1</v>
      </c>
      <c r="C5" s="153">
        <v>0.2</v>
      </c>
      <c r="G5" s="6"/>
      <c r="H5" s="2"/>
    </row>
    <row r="6" spans="2:8" s="20" customFormat="1" ht="15.75" thickBot="1">
      <c r="B6" s="19"/>
      <c r="C6" s="21"/>
      <c r="G6" s="22"/>
      <c r="H6" s="23"/>
    </row>
    <row r="7" spans="2:8" ht="15.75" thickBot="1">
      <c r="B7" s="181" t="s">
        <v>70</v>
      </c>
      <c r="C7" s="182"/>
      <c r="D7" s="182"/>
      <c r="E7" s="182"/>
      <c r="F7" s="182"/>
      <c r="G7" s="182"/>
      <c r="H7" s="183"/>
    </row>
    <row r="8" spans="2:8" ht="15.75" thickBot="1">
      <c r="B8" s="27" t="s">
        <v>0</v>
      </c>
      <c r="C8" s="39" t="s">
        <v>27</v>
      </c>
      <c r="D8" s="31" t="s">
        <v>28</v>
      </c>
      <c r="E8" s="39" t="s">
        <v>29</v>
      </c>
      <c r="F8" s="31" t="s">
        <v>30</v>
      </c>
      <c r="G8" s="39" t="s">
        <v>31</v>
      </c>
      <c r="H8" s="36" t="s">
        <v>32</v>
      </c>
    </row>
    <row r="9" spans="2:8" ht="15.75" thickBot="1">
      <c r="B9" s="28" t="s">
        <v>66</v>
      </c>
      <c r="C9" s="154">
        <v>0.9</v>
      </c>
      <c r="D9" s="155">
        <v>0.9</v>
      </c>
      <c r="E9" s="154">
        <v>0.9</v>
      </c>
      <c r="F9" s="155">
        <v>1.4</v>
      </c>
      <c r="G9" s="154">
        <v>1.4</v>
      </c>
      <c r="H9" s="156">
        <v>1.4</v>
      </c>
    </row>
    <row r="10" spans="2:8" ht="15">
      <c r="B10" s="29" t="s">
        <v>2</v>
      </c>
      <c r="C10" s="40">
        <f aca="true" t="shared" si="0" ref="C10:H10">qte/12*C9*pu</f>
        <v>405000</v>
      </c>
      <c r="D10" s="32">
        <f t="shared" si="0"/>
        <v>405000</v>
      </c>
      <c r="E10" s="40">
        <f t="shared" si="0"/>
        <v>405000</v>
      </c>
      <c r="F10" s="32">
        <f t="shared" si="0"/>
        <v>630000</v>
      </c>
      <c r="G10" s="40">
        <f t="shared" si="0"/>
        <v>630000</v>
      </c>
      <c r="H10" s="37">
        <f t="shared" si="0"/>
        <v>630000</v>
      </c>
    </row>
    <row r="11" spans="2:8" ht="15.75" thickBot="1">
      <c r="B11" s="30" t="s">
        <v>12</v>
      </c>
      <c r="C11" s="41">
        <f aca="true" t="shared" si="1" ref="C11:H11">C10*tva</f>
        <v>81000</v>
      </c>
      <c r="D11" s="33">
        <f t="shared" si="1"/>
        <v>81000</v>
      </c>
      <c r="E11" s="41">
        <f t="shared" si="1"/>
        <v>81000</v>
      </c>
      <c r="F11" s="33">
        <f t="shared" si="1"/>
        <v>126000</v>
      </c>
      <c r="G11" s="41">
        <f t="shared" si="1"/>
        <v>126000</v>
      </c>
      <c r="H11" s="38">
        <f t="shared" si="1"/>
        <v>126000</v>
      </c>
    </row>
    <row r="12" spans="2:8" s="2" customFormat="1" ht="15.75" thickBot="1">
      <c r="B12" s="89" t="s">
        <v>3</v>
      </c>
      <c r="C12" s="49">
        <f aca="true" t="shared" si="2" ref="C12:H12">C10+C11</f>
        <v>486000</v>
      </c>
      <c r="D12" s="50">
        <f t="shared" si="2"/>
        <v>486000</v>
      </c>
      <c r="E12" s="49">
        <f t="shared" si="2"/>
        <v>486000</v>
      </c>
      <c r="F12" s="50">
        <f t="shared" si="2"/>
        <v>756000</v>
      </c>
      <c r="G12" s="49">
        <f t="shared" si="2"/>
        <v>756000</v>
      </c>
      <c r="H12" s="51">
        <f t="shared" si="2"/>
        <v>756000</v>
      </c>
    </row>
    <row r="13" spans="2:8" ht="15.75" thickBot="1">
      <c r="B13" s="29" t="s">
        <v>68</v>
      </c>
      <c r="C13" s="42">
        <f>C12</f>
        <v>486000</v>
      </c>
      <c r="D13" s="34">
        <f>C13+D12</f>
        <v>972000</v>
      </c>
      <c r="E13" s="42">
        <f>D13+E12</f>
        <v>1458000</v>
      </c>
      <c r="F13" s="34">
        <f>E13+F12</f>
        <v>2214000</v>
      </c>
      <c r="G13" s="42">
        <f>F13+G12</f>
        <v>2970000</v>
      </c>
      <c r="H13" s="54">
        <f>G13+H12</f>
        <v>3726000</v>
      </c>
    </row>
    <row r="14" spans="2:8" ht="15.75" thickBot="1">
      <c r="B14" s="44" t="s">
        <v>67</v>
      </c>
      <c r="C14" s="43">
        <f>C10</f>
        <v>405000</v>
      </c>
      <c r="D14" s="35">
        <f>C14+D10</f>
        <v>810000</v>
      </c>
      <c r="E14" s="43">
        <f>D14+E10</f>
        <v>1215000</v>
      </c>
      <c r="F14" s="35">
        <f>E14+F10</f>
        <v>1845000</v>
      </c>
      <c r="G14" s="53">
        <f>F14+G10</f>
        <v>2475000</v>
      </c>
      <c r="H14" s="78">
        <f>G14+H10</f>
        <v>3105000</v>
      </c>
    </row>
    <row r="15" spans="2:8" ht="15">
      <c r="B15" s="7"/>
      <c r="C15" s="8"/>
      <c r="D15" s="8"/>
      <c r="E15" s="8"/>
      <c r="F15" s="8"/>
      <c r="G15" s="8"/>
      <c r="H15" s="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6" spans="2:8" ht="15">
      <c r="B66" s="8"/>
      <c r="C66" s="8"/>
      <c r="D66" s="8"/>
      <c r="E66" s="8"/>
      <c r="F66" s="8"/>
      <c r="G66" s="8"/>
      <c r="H66" s="8"/>
    </row>
    <row r="67" spans="2:8" ht="15">
      <c r="B67" s="8"/>
      <c r="C67" s="8"/>
      <c r="D67" s="8"/>
      <c r="E67" s="8"/>
      <c r="F67" s="8"/>
      <c r="G67" s="8"/>
      <c r="H67" s="8"/>
    </row>
    <row r="68" spans="2:8" ht="15">
      <c r="B68" s="8"/>
      <c r="C68" s="8"/>
      <c r="D68" s="8"/>
      <c r="E68" s="8"/>
      <c r="F68" s="8"/>
      <c r="G68" s="8"/>
      <c r="H68" s="8"/>
    </row>
    <row r="69" spans="2:8" ht="15">
      <c r="B69" s="8"/>
      <c r="C69" s="8"/>
      <c r="D69" s="8"/>
      <c r="E69" s="8"/>
      <c r="F69" s="8"/>
      <c r="G69" s="8"/>
      <c r="H69" s="8"/>
    </row>
    <row r="70" spans="2:8" ht="15">
      <c r="B70" s="9"/>
      <c r="C70" s="9"/>
      <c r="D70" s="184"/>
      <c r="E70" s="184"/>
      <c r="F70" s="9"/>
      <c r="G70" s="8"/>
      <c r="H70" s="8"/>
    </row>
    <row r="71" spans="2:8" ht="15">
      <c r="B71" s="8"/>
      <c r="C71" s="10"/>
      <c r="D71" s="8"/>
      <c r="E71" s="8"/>
      <c r="F71" s="8"/>
      <c r="G71" s="8"/>
      <c r="H71" s="8"/>
    </row>
    <row r="72" spans="2:8" ht="15">
      <c r="B72" s="8"/>
      <c r="C72" s="10"/>
      <c r="D72" s="8"/>
      <c r="E72" s="10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8"/>
      <c r="F85" s="10"/>
      <c r="G85" s="8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8"/>
      <c r="C87" s="10"/>
      <c r="D87" s="8"/>
      <c r="E87" s="8"/>
      <c r="F87" s="10"/>
      <c r="G87" s="8"/>
      <c r="H87" s="8"/>
    </row>
    <row r="88" spans="2:8" ht="15">
      <c r="B88" s="8"/>
      <c r="C88" s="10"/>
      <c r="D88" s="8"/>
      <c r="E88" s="8"/>
      <c r="F88" s="10"/>
      <c r="G88" s="8"/>
      <c r="H88" s="8"/>
    </row>
    <row r="89" spans="2:8" ht="15">
      <c r="B89" s="8"/>
      <c r="C89" s="10"/>
      <c r="D89" s="8"/>
      <c r="E89" s="8"/>
      <c r="F89" s="10"/>
      <c r="G89" s="8"/>
      <c r="H89" s="8"/>
    </row>
    <row r="90" spans="2:8" ht="15">
      <c r="B90" s="8"/>
      <c r="C90" s="10"/>
      <c r="D90" s="8"/>
      <c r="E90" s="10"/>
      <c r="F90" s="10"/>
      <c r="G90" s="10"/>
      <c r="H90" s="8"/>
    </row>
    <row r="91" spans="2:8" ht="15">
      <c r="B91" s="8"/>
      <c r="C91" s="10"/>
      <c r="D91" s="8"/>
      <c r="E91" s="8"/>
      <c r="F91" s="10"/>
      <c r="G91" s="8"/>
      <c r="H91" s="8"/>
    </row>
    <row r="92" spans="2:8" ht="15">
      <c r="B92" s="11"/>
      <c r="C92" s="12"/>
      <c r="D92" s="13"/>
      <c r="E92" s="13"/>
      <c r="F92" s="10"/>
      <c r="G92" s="8"/>
      <c r="H92" s="8"/>
    </row>
    <row r="93" spans="2:8" ht="15">
      <c r="B93" s="8"/>
      <c r="C93" s="10"/>
      <c r="D93" s="8"/>
      <c r="E93" s="8"/>
      <c r="F93" s="10"/>
      <c r="G93" s="8"/>
      <c r="H93" s="8"/>
    </row>
    <row r="94" spans="2:8" ht="15">
      <c r="B94" s="8"/>
      <c r="C94" s="10"/>
      <c r="D94" s="8"/>
      <c r="E94" s="10"/>
      <c r="F94" s="10"/>
      <c r="G94" s="8"/>
      <c r="H94" s="8"/>
    </row>
    <row r="95" spans="2:8" ht="15">
      <c r="B95" s="8"/>
      <c r="C95" s="8"/>
      <c r="D95" s="8"/>
      <c r="E95" s="8"/>
      <c r="F95" s="8"/>
      <c r="G95" s="8"/>
      <c r="H95" s="8"/>
    </row>
    <row r="96" spans="2:8" ht="15">
      <c r="B96" s="8"/>
      <c r="C96" s="8"/>
      <c r="D96" s="8"/>
      <c r="E96" s="8"/>
      <c r="F96" s="8"/>
      <c r="G96" s="8"/>
      <c r="H96" s="8"/>
    </row>
    <row r="97" spans="2:8" ht="15">
      <c r="B97" s="8"/>
      <c r="C97" s="8"/>
      <c r="D97" s="8"/>
      <c r="E97" s="8"/>
      <c r="F97" s="8"/>
      <c r="G97" s="8"/>
      <c r="H97" s="8"/>
    </row>
    <row r="98" spans="2:8" ht="15">
      <c r="B98" s="8"/>
      <c r="C98" s="8"/>
      <c r="D98" s="8"/>
      <c r="E98" s="8"/>
      <c r="F98" s="8"/>
      <c r="G98" s="8"/>
      <c r="H98" s="8"/>
    </row>
    <row r="99" spans="2:8" ht="15">
      <c r="B99" s="8"/>
      <c r="C99" s="8"/>
      <c r="D99" s="8"/>
      <c r="E99" s="8"/>
      <c r="F99" s="8"/>
      <c r="G99" s="8"/>
      <c r="H99" s="8"/>
    </row>
    <row r="100" spans="2:8" ht="15">
      <c r="B100" s="14"/>
      <c r="C100" s="14"/>
      <c r="D100" s="14"/>
      <c r="E100" s="14"/>
      <c r="F100" s="8"/>
      <c r="G100" s="8"/>
      <c r="H100" s="8"/>
    </row>
    <row r="101" spans="2:8" ht="15">
      <c r="B101" s="14"/>
      <c r="C101" s="14"/>
      <c r="D101" s="14"/>
      <c r="E101" s="14"/>
      <c r="F101" s="8"/>
      <c r="G101" s="8"/>
      <c r="H101" s="8"/>
    </row>
    <row r="102" spans="2:8" ht="15">
      <c r="B102" s="15"/>
      <c r="C102" s="14"/>
      <c r="D102" s="185"/>
      <c r="E102" s="185"/>
      <c r="F102" s="8"/>
      <c r="G102" s="8"/>
      <c r="H102" s="8"/>
    </row>
    <row r="103" spans="2:8" ht="15">
      <c r="B103" s="14"/>
      <c r="C103" s="14"/>
      <c r="D103" s="14"/>
      <c r="E103" s="16"/>
      <c r="F103" s="8"/>
      <c r="G103" s="8"/>
      <c r="H103" s="8"/>
    </row>
    <row r="104" spans="2:8" ht="15">
      <c r="B104" s="14"/>
      <c r="C104" s="14"/>
      <c r="D104" s="14"/>
      <c r="E104" s="16"/>
      <c r="F104" s="8"/>
      <c r="G104" s="8"/>
      <c r="H104" s="8"/>
    </row>
    <row r="105" spans="2:8" ht="15">
      <c r="B105" s="14"/>
      <c r="C105" s="14"/>
      <c r="D105" s="14"/>
      <c r="E105" s="16"/>
      <c r="F105" s="8"/>
      <c r="G105" s="8"/>
      <c r="H105" s="8"/>
    </row>
    <row r="106" spans="2:8" ht="15">
      <c r="B106" s="14"/>
      <c r="C106" s="8"/>
      <c r="D106" s="14"/>
      <c r="E106" s="16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7"/>
      <c r="E108" s="18"/>
      <c r="F108" s="8"/>
      <c r="G108" s="8"/>
      <c r="H108" s="8"/>
    </row>
    <row r="109" spans="2:8" ht="15">
      <c r="B109" s="14"/>
      <c r="C109" s="8"/>
      <c r="D109" s="14"/>
      <c r="E109" s="16"/>
      <c r="F109" s="8"/>
      <c r="G109" s="8"/>
      <c r="H109" s="8"/>
    </row>
    <row r="110" spans="2:8" ht="15">
      <c r="B110" s="14"/>
      <c r="C110" s="8"/>
      <c r="D110" s="14"/>
      <c r="E110" s="16"/>
      <c r="F110" s="19"/>
      <c r="G110" s="8"/>
      <c r="H110" s="8"/>
    </row>
    <row r="111" spans="2:8" ht="15">
      <c r="B111" s="14"/>
      <c r="C111" s="8"/>
      <c r="D111" s="14"/>
      <c r="E111" s="16"/>
      <c r="F111" s="8"/>
      <c r="G111" s="8"/>
      <c r="H111" s="8"/>
    </row>
    <row r="112" spans="2:8" ht="15">
      <c r="B112" s="14"/>
      <c r="C112" s="8"/>
      <c r="D112" s="14"/>
      <c r="E112" s="16"/>
      <c r="F112" s="8"/>
      <c r="G112" s="8"/>
      <c r="H112" s="8"/>
    </row>
    <row r="113" spans="2:8" ht="15">
      <c r="B113" s="14"/>
      <c r="C113" s="8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6"/>
      <c r="F114" s="8"/>
      <c r="G114" s="8"/>
      <c r="H114" s="8"/>
    </row>
    <row r="115" spans="2:8" ht="15">
      <c r="B115" s="14"/>
      <c r="C115" s="14"/>
      <c r="D115" s="14"/>
      <c r="E115" s="16"/>
      <c r="F115" s="8"/>
      <c r="G115" s="8"/>
      <c r="H115" s="8"/>
    </row>
    <row r="116" spans="2:8" ht="15">
      <c r="B116" s="14"/>
      <c r="C116" s="14"/>
      <c r="D116" s="14"/>
      <c r="E116" s="16"/>
      <c r="F116" s="8"/>
      <c r="G116" s="8"/>
      <c r="H116" s="8"/>
    </row>
    <row r="117" spans="2:8" ht="15">
      <c r="B117" s="14"/>
      <c r="C117" s="14"/>
      <c r="D117" s="14"/>
      <c r="E117" s="16"/>
      <c r="F117" s="8"/>
      <c r="G117" s="8"/>
      <c r="H117" s="8"/>
    </row>
    <row r="118" spans="2:8" ht="15">
      <c r="B118" s="14"/>
      <c r="C118" s="14"/>
      <c r="D118" s="14"/>
      <c r="E118" s="16"/>
      <c r="F118" s="8"/>
      <c r="G118" s="8"/>
      <c r="H118" s="8"/>
    </row>
    <row r="119" spans="2:8" ht="15">
      <c r="B119" s="14"/>
      <c r="C119" s="14"/>
      <c r="D119" s="14"/>
      <c r="E119" s="14"/>
      <c r="F119" s="8"/>
      <c r="G119" s="8"/>
      <c r="H119" s="8"/>
    </row>
    <row r="120" spans="2:8" ht="15">
      <c r="B120" s="8"/>
      <c r="C120" s="8"/>
      <c r="D120" s="8"/>
      <c r="E120" s="8"/>
      <c r="F120" s="8"/>
      <c r="G120" s="8"/>
      <c r="H120" s="8"/>
    </row>
    <row r="121" spans="2:8" ht="15">
      <c r="B121" s="8"/>
      <c r="C121" s="8"/>
      <c r="D121" s="8"/>
      <c r="E121" s="8"/>
      <c r="F121" s="8"/>
      <c r="G121" s="8"/>
      <c r="H121" s="8"/>
    </row>
  </sheetData>
  <sheetProtection sheet="1"/>
  <mergeCells count="3">
    <mergeCell ref="B7:H7"/>
    <mergeCell ref="D70:E70"/>
    <mergeCell ref="D102:E10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4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spans="2:8" s="20" customFormat="1" ht="15.75" thickBot="1">
      <c r="B1" s="19"/>
      <c r="C1" s="21"/>
      <c r="G1" s="22"/>
      <c r="H1" s="23"/>
    </row>
    <row r="2" spans="2:8" ht="15.75" thickBot="1">
      <c r="B2" s="181" t="s">
        <v>71</v>
      </c>
      <c r="C2" s="182"/>
      <c r="D2" s="182"/>
      <c r="E2" s="182"/>
      <c r="F2" s="182"/>
      <c r="G2" s="182"/>
      <c r="H2" s="183"/>
    </row>
    <row r="3" spans="2:8" ht="15.75" thickBot="1">
      <c r="B3" s="27" t="s">
        <v>0</v>
      </c>
      <c r="C3" s="39" t="s">
        <v>27</v>
      </c>
      <c r="D3" s="31" t="s">
        <v>28</v>
      </c>
      <c r="E3" s="39" t="s">
        <v>29</v>
      </c>
      <c r="F3" s="31" t="s">
        <v>30</v>
      </c>
      <c r="G3" s="39" t="s">
        <v>31</v>
      </c>
      <c r="H3" s="36" t="s">
        <v>32</v>
      </c>
    </row>
    <row r="4" spans="2:8" ht="15">
      <c r="B4" s="29" t="s">
        <v>4</v>
      </c>
      <c r="C4" s="40">
        <f>Ventes!C10*Ventes!txh</f>
        <v>162000</v>
      </c>
      <c r="D4" s="32">
        <f>Ventes!D10*Ventes!txh</f>
        <v>162000</v>
      </c>
      <c r="E4" s="40">
        <f>Ventes!E10*Ventes!txh</f>
        <v>162000</v>
      </c>
      <c r="F4" s="32">
        <f>Ventes!F10*Ventes!txh</f>
        <v>252000</v>
      </c>
      <c r="G4" s="40">
        <f>Ventes!G10*Ventes!txh</f>
        <v>252000</v>
      </c>
      <c r="H4" s="37">
        <f>Ventes!H10*Ventes!txh</f>
        <v>252000</v>
      </c>
    </row>
    <row r="5" spans="2:8" ht="15.75" thickBot="1">
      <c r="B5" s="30" t="s">
        <v>12</v>
      </c>
      <c r="C5" s="41">
        <f>C4*Ventes!tva</f>
        <v>32400</v>
      </c>
      <c r="D5" s="33">
        <f>D4*Ventes!tva</f>
        <v>32400</v>
      </c>
      <c r="E5" s="41">
        <f>E4*Ventes!tva</f>
        <v>32400</v>
      </c>
      <c r="F5" s="33">
        <f>F4*Ventes!tva</f>
        <v>50400</v>
      </c>
      <c r="G5" s="41">
        <f>G4*Ventes!tva</f>
        <v>50400</v>
      </c>
      <c r="H5" s="38">
        <f>H4*Ventes!tva</f>
        <v>50400</v>
      </c>
    </row>
    <row r="6" spans="2:8" ht="15.75" thickBot="1">
      <c r="B6" s="89" t="s">
        <v>5</v>
      </c>
      <c r="C6" s="49">
        <f aca="true" t="shared" si="0" ref="C6:H6">C4+C5</f>
        <v>194400</v>
      </c>
      <c r="D6" s="50">
        <f t="shared" si="0"/>
        <v>194400</v>
      </c>
      <c r="E6" s="49">
        <f t="shared" si="0"/>
        <v>194400</v>
      </c>
      <c r="F6" s="50">
        <f t="shared" si="0"/>
        <v>302400</v>
      </c>
      <c r="G6" s="49">
        <f t="shared" si="0"/>
        <v>302400</v>
      </c>
      <c r="H6" s="51">
        <f t="shared" si="0"/>
        <v>302400</v>
      </c>
    </row>
    <row r="7" spans="2:8" ht="15.75" thickBot="1">
      <c r="B7" s="29" t="s">
        <v>68</v>
      </c>
      <c r="C7" s="42">
        <f>C6</f>
        <v>194400</v>
      </c>
      <c r="D7" s="34">
        <f>C7+D6</f>
        <v>388800</v>
      </c>
      <c r="E7" s="42">
        <f>D7+E6</f>
        <v>583200</v>
      </c>
      <c r="F7" s="34">
        <f>E7+F6</f>
        <v>885600</v>
      </c>
      <c r="G7" s="42">
        <f>F7+G6</f>
        <v>1188000</v>
      </c>
      <c r="H7" s="54">
        <f>G7+H6</f>
        <v>1490400</v>
      </c>
    </row>
    <row r="8" spans="2:8" ht="15.75" thickBot="1">
      <c r="B8" s="52" t="s">
        <v>67</v>
      </c>
      <c r="C8" s="43">
        <f>C4</f>
        <v>162000</v>
      </c>
      <c r="D8" s="35">
        <f>C8+D4</f>
        <v>324000</v>
      </c>
      <c r="E8" s="43">
        <f>D8+E4</f>
        <v>486000</v>
      </c>
      <c r="F8" s="35">
        <f>E8+F4</f>
        <v>738000</v>
      </c>
      <c r="G8" s="53">
        <f>F8+G4</f>
        <v>990000</v>
      </c>
      <c r="H8" s="78">
        <f>G8+H4</f>
        <v>1242000</v>
      </c>
    </row>
    <row r="9" spans="2:8" ht="15">
      <c r="B9" s="7"/>
      <c r="C9" s="8"/>
      <c r="D9" s="8"/>
      <c r="E9" s="8"/>
      <c r="F9" s="8"/>
      <c r="G9" s="8"/>
      <c r="H9" s="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9" spans="2:8" ht="15">
      <c r="B59" s="8"/>
      <c r="C59" s="8"/>
      <c r="D59" s="8"/>
      <c r="E59" s="8"/>
      <c r="F59" s="8"/>
      <c r="G59" s="8"/>
      <c r="H59" s="8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  <row r="63" spans="2:8" ht="15">
      <c r="B63" s="9"/>
      <c r="C63" s="9"/>
      <c r="D63" s="184"/>
      <c r="E63" s="184"/>
      <c r="F63" s="9"/>
      <c r="G63" s="8"/>
      <c r="H63" s="8"/>
    </row>
    <row r="64" spans="2:8" ht="15">
      <c r="B64" s="8"/>
      <c r="C64" s="10"/>
      <c r="D64" s="8"/>
      <c r="E64" s="8"/>
      <c r="F64" s="8"/>
      <c r="G64" s="8"/>
      <c r="H64" s="8"/>
    </row>
    <row r="65" spans="2:8" ht="15">
      <c r="B65" s="8"/>
      <c r="C65" s="10"/>
      <c r="D65" s="8"/>
      <c r="E65" s="10"/>
      <c r="F65" s="10"/>
      <c r="G65" s="8"/>
      <c r="H65" s="8"/>
    </row>
    <row r="66" spans="2:8" ht="15">
      <c r="B66" s="8"/>
      <c r="C66" s="10"/>
      <c r="D66" s="8"/>
      <c r="E66" s="8"/>
      <c r="F66" s="10"/>
      <c r="G66" s="8"/>
      <c r="H66" s="8"/>
    </row>
    <row r="67" spans="2:8" ht="15">
      <c r="B67" s="8"/>
      <c r="C67" s="10"/>
      <c r="D67" s="8"/>
      <c r="E67" s="8"/>
      <c r="F67" s="10"/>
      <c r="G67" s="8"/>
      <c r="H67" s="8"/>
    </row>
    <row r="68" spans="2:8" ht="15">
      <c r="B68" s="8"/>
      <c r="C68" s="10"/>
      <c r="D68" s="8"/>
      <c r="E68" s="8"/>
      <c r="F68" s="10"/>
      <c r="G68" s="8"/>
      <c r="H68" s="8"/>
    </row>
    <row r="69" spans="2:8" ht="15">
      <c r="B69" s="8"/>
      <c r="C69" s="10"/>
      <c r="D69" s="8"/>
      <c r="E69" s="8"/>
      <c r="F69" s="10"/>
      <c r="G69" s="8"/>
      <c r="H69" s="8"/>
    </row>
    <row r="70" spans="2:8" ht="15">
      <c r="B70" s="8"/>
      <c r="C70" s="10"/>
      <c r="D70" s="8"/>
      <c r="E70" s="8"/>
      <c r="F70" s="10"/>
      <c r="G70" s="8"/>
      <c r="H70" s="8"/>
    </row>
    <row r="71" spans="2:8" ht="15">
      <c r="B71" s="8"/>
      <c r="C71" s="10"/>
      <c r="D71" s="8"/>
      <c r="E71" s="8"/>
      <c r="F71" s="10"/>
      <c r="G71" s="8"/>
      <c r="H71" s="8"/>
    </row>
    <row r="72" spans="2:8" ht="15">
      <c r="B72" s="8"/>
      <c r="C72" s="10"/>
      <c r="D72" s="8"/>
      <c r="E72" s="8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10"/>
      <c r="F83" s="10"/>
      <c r="G83" s="10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11"/>
      <c r="C85" s="12"/>
      <c r="D85" s="13"/>
      <c r="E85" s="13"/>
      <c r="F85" s="10"/>
      <c r="G85" s="8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8"/>
      <c r="C87" s="10"/>
      <c r="D87" s="8"/>
      <c r="E87" s="10"/>
      <c r="F87" s="10"/>
      <c r="G87" s="8"/>
      <c r="H87" s="8"/>
    </row>
    <row r="88" spans="2:8" ht="15">
      <c r="B88" s="8"/>
      <c r="C88" s="8"/>
      <c r="D88" s="8"/>
      <c r="E88" s="8"/>
      <c r="F88" s="8"/>
      <c r="G88" s="8"/>
      <c r="H88" s="8"/>
    </row>
    <row r="89" spans="2:8" ht="15">
      <c r="B89" s="8"/>
      <c r="C89" s="8"/>
      <c r="D89" s="8"/>
      <c r="E89" s="8"/>
      <c r="F89" s="8"/>
      <c r="G89" s="8"/>
      <c r="H89" s="8"/>
    </row>
    <row r="90" spans="2:8" ht="15">
      <c r="B90" s="8"/>
      <c r="C90" s="8"/>
      <c r="D90" s="8"/>
      <c r="E90" s="8"/>
      <c r="F90" s="8"/>
      <c r="G90" s="8"/>
      <c r="H90" s="8"/>
    </row>
    <row r="91" spans="2:8" ht="15">
      <c r="B91" s="8"/>
      <c r="C91" s="8"/>
      <c r="D91" s="8"/>
      <c r="E91" s="8"/>
      <c r="F91" s="8"/>
      <c r="G91" s="8"/>
      <c r="H91" s="8"/>
    </row>
    <row r="92" spans="2:8" ht="15">
      <c r="B92" s="8"/>
      <c r="C92" s="8"/>
      <c r="D92" s="8"/>
      <c r="E92" s="8"/>
      <c r="F92" s="8"/>
      <c r="G92" s="8"/>
      <c r="H92" s="8"/>
    </row>
    <row r="93" spans="2:8" ht="15">
      <c r="B93" s="14"/>
      <c r="C93" s="14"/>
      <c r="D93" s="14"/>
      <c r="E93" s="14"/>
      <c r="F93" s="8"/>
      <c r="G93" s="8"/>
      <c r="H93" s="8"/>
    </row>
    <row r="94" spans="2:8" ht="15">
      <c r="B94" s="14"/>
      <c r="C94" s="14"/>
      <c r="D94" s="14"/>
      <c r="E94" s="14"/>
      <c r="F94" s="8"/>
      <c r="G94" s="8"/>
      <c r="H94" s="8"/>
    </row>
    <row r="95" spans="2:8" ht="15">
      <c r="B95" s="15"/>
      <c r="C95" s="14"/>
      <c r="D95" s="185"/>
      <c r="E95" s="185"/>
      <c r="F95" s="8"/>
      <c r="G95" s="8"/>
      <c r="H95" s="8"/>
    </row>
    <row r="96" spans="2:8" ht="15">
      <c r="B96" s="14"/>
      <c r="C96" s="14"/>
      <c r="D96" s="14"/>
      <c r="E96" s="16"/>
      <c r="F96" s="8"/>
      <c r="G96" s="8"/>
      <c r="H96" s="8"/>
    </row>
    <row r="97" spans="2:8" ht="15">
      <c r="B97" s="14"/>
      <c r="C97" s="14"/>
      <c r="D97" s="14"/>
      <c r="E97" s="16"/>
      <c r="F97" s="8"/>
      <c r="G97" s="8"/>
      <c r="H97" s="8"/>
    </row>
    <row r="98" spans="2:8" ht="15">
      <c r="B98" s="14"/>
      <c r="C98" s="14"/>
      <c r="D98" s="14"/>
      <c r="E98" s="16"/>
      <c r="F98" s="8"/>
      <c r="G98" s="8"/>
      <c r="H98" s="8"/>
    </row>
    <row r="99" spans="2:8" ht="15">
      <c r="B99" s="14"/>
      <c r="C99" s="8"/>
      <c r="D99" s="14"/>
      <c r="E99" s="16"/>
      <c r="F99" s="8"/>
      <c r="G99" s="8"/>
      <c r="H99" s="8"/>
    </row>
    <row r="100" spans="2:8" ht="15">
      <c r="B100" s="14"/>
      <c r="C100" s="8"/>
      <c r="D100" s="14"/>
      <c r="E100" s="16"/>
      <c r="F100" s="8"/>
      <c r="G100" s="8"/>
      <c r="H100" s="8"/>
    </row>
    <row r="101" spans="2:8" ht="15">
      <c r="B101" s="14"/>
      <c r="C101" s="8"/>
      <c r="D101" s="17"/>
      <c r="E101" s="18"/>
      <c r="F101" s="8"/>
      <c r="G101" s="8"/>
      <c r="H101" s="8"/>
    </row>
    <row r="102" spans="2:8" ht="15">
      <c r="B102" s="14"/>
      <c r="C102" s="8"/>
      <c r="D102" s="14"/>
      <c r="E102" s="16"/>
      <c r="F102" s="8"/>
      <c r="G102" s="8"/>
      <c r="H102" s="8"/>
    </row>
    <row r="103" spans="2:8" ht="15">
      <c r="B103" s="14"/>
      <c r="C103" s="8"/>
      <c r="D103" s="14"/>
      <c r="E103" s="16"/>
      <c r="F103" s="19"/>
      <c r="G103" s="8"/>
      <c r="H103" s="8"/>
    </row>
    <row r="104" spans="2:8" ht="15">
      <c r="B104" s="14"/>
      <c r="C104" s="8"/>
      <c r="D104" s="14"/>
      <c r="E104" s="16"/>
      <c r="F104" s="8"/>
      <c r="G104" s="8"/>
      <c r="H104" s="8"/>
    </row>
    <row r="105" spans="2:8" ht="15">
      <c r="B105" s="14"/>
      <c r="C105" s="8"/>
      <c r="D105" s="14"/>
      <c r="E105" s="16"/>
      <c r="F105" s="8"/>
      <c r="G105" s="8"/>
      <c r="H105" s="8"/>
    </row>
    <row r="106" spans="2:8" ht="15">
      <c r="B106" s="14"/>
      <c r="C106" s="8"/>
      <c r="D106" s="14"/>
      <c r="E106" s="16"/>
      <c r="F106" s="8"/>
      <c r="G106" s="8"/>
      <c r="H106" s="8"/>
    </row>
    <row r="107" spans="2:8" ht="15">
      <c r="B107" s="14"/>
      <c r="C107" s="14"/>
      <c r="D107" s="14"/>
      <c r="E107" s="16"/>
      <c r="F107" s="8"/>
      <c r="G107" s="8"/>
      <c r="H107" s="8"/>
    </row>
    <row r="108" spans="2:8" ht="15">
      <c r="B108" s="14"/>
      <c r="C108" s="14"/>
      <c r="D108" s="14"/>
      <c r="E108" s="16"/>
      <c r="F108" s="8"/>
      <c r="G108" s="8"/>
      <c r="H108" s="8"/>
    </row>
    <row r="109" spans="2:8" ht="15">
      <c r="B109" s="14"/>
      <c r="C109" s="14"/>
      <c r="D109" s="14"/>
      <c r="E109" s="16"/>
      <c r="F109" s="8"/>
      <c r="G109" s="8"/>
      <c r="H109" s="8"/>
    </row>
    <row r="110" spans="2:8" ht="15">
      <c r="B110" s="14"/>
      <c r="C110" s="14"/>
      <c r="D110" s="14"/>
      <c r="E110" s="16"/>
      <c r="F110" s="8"/>
      <c r="G110" s="8"/>
      <c r="H110" s="8"/>
    </row>
    <row r="111" spans="2:8" ht="15">
      <c r="B111" s="14"/>
      <c r="C111" s="14"/>
      <c r="D111" s="14"/>
      <c r="E111" s="16"/>
      <c r="F111" s="8"/>
      <c r="G111" s="8"/>
      <c r="H111" s="8"/>
    </row>
    <row r="112" spans="2:8" ht="15">
      <c r="B112" s="14"/>
      <c r="C112" s="14"/>
      <c r="D112" s="14"/>
      <c r="E112" s="14"/>
      <c r="F112" s="8"/>
      <c r="G112" s="8"/>
      <c r="H112" s="8"/>
    </row>
    <row r="113" spans="2:8" ht="15">
      <c r="B113" s="8"/>
      <c r="C113" s="8"/>
      <c r="D113" s="8"/>
      <c r="E113" s="8"/>
      <c r="F113" s="8"/>
      <c r="G113" s="8"/>
      <c r="H113" s="8"/>
    </row>
    <row r="114" spans="2:8" ht="15">
      <c r="B114" s="8"/>
      <c r="C114" s="8"/>
      <c r="D114" s="8"/>
      <c r="E114" s="8"/>
      <c r="F114" s="8"/>
      <c r="G114" s="8"/>
      <c r="H114" s="8"/>
    </row>
  </sheetData>
  <sheetProtection sheet="1"/>
  <mergeCells count="3">
    <mergeCell ref="D63:E63"/>
    <mergeCell ref="D95:E95"/>
    <mergeCell ref="B2:H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7"/>
  <sheetViews>
    <sheetView showGridLines="0" zoomScalePageLayoutView="0" workbookViewId="0" topLeftCell="A1">
      <selection activeCell="H10" sqref="H10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spans="2:8" s="20" customFormat="1" ht="15.75" thickBot="1">
      <c r="B1" s="19"/>
      <c r="C1" s="21"/>
      <c r="G1" s="22"/>
      <c r="H1" s="23"/>
    </row>
    <row r="2" spans="2:8" ht="15.75" thickBot="1">
      <c r="B2" s="181" t="s">
        <v>72</v>
      </c>
      <c r="C2" s="182"/>
      <c r="D2" s="182"/>
      <c r="E2" s="182"/>
      <c r="F2" s="182"/>
      <c r="G2" s="182"/>
      <c r="H2" s="183"/>
    </row>
    <row r="3" spans="2:8" ht="15.75" thickBot="1">
      <c r="B3" s="27" t="s">
        <v>0</v>
      </c>
      <c r="C3" s="39" t="s">
        <v>27</v>
      </c>
      <c r="D3" s="31" t="s">
        <v>28</v>
      </c>
      <c r="E3" s="39" t="s">
        <v>29</v>
      </c>
      <c r="F3" s="31" t="s">
        <v>30</v>
      </c>
      <c r="G3" s="39" t="s">
        <v>31</v>
      </c>
      <c r="H3" s="36" t="s">
        <v>32</v>
      </c>
    </row>
    <row r="4" spans="2:8" ht="15">
      <c r="B4" s="62" t="s">
        <v>22</v>
      </c>
      <c r="C4" s="157">
        <f>Ventes!C11</f>
        <v>81000</v>
      </c>
      <c r="D4" s="158">
        <f>Ventes!D11</f>
        <v>81000</v>
      </c>
      <c r="E4" s="157">
        <f>Ventes!E11</f>
        <v>81000</v>
      </c>
      <c r="F4" s="158">
        <f>Ventes!F11</f>
        <v>126000</v>
      </c>
      <c r="G4" s="157">
        <f>Ventes!G11</f>
        <v>126000</v>
      </c>
      <c r="H4" s="159">
        <f>Ventes!H11</f>
        <v>126000</v>
      </c>
    </row>
    <row r="5" spans="2:8" ht="15">
      <c r="B5" s="63" t="s">
        <v>19</v>
      </c>
      <c r="C5" s="160"/>
      <c r="D5" s="161"/>
      <c r="E5" s="160"/>
      <c r="F5" s="162"/>
      <c r="G5" s="160"/>
      <c r="H5" s="163"/>
    </row>
    <row r="6" spans="2:8" ht="15">
      <c r="B6" s="63" t="s">
        <v>6</v>
      </c>
      <c r="C6" s="160">
        <f>Achats!C5</f>
        <v>32400</v>
      </c>
      <c r="D6" s="162">
        <f>Achats!D5</f>
        <v>32400</v>
      </c>
      <c r="E6" s="160">
        <f>Achats!E5</f>
        <v>32400</v>
      </c>
      <c r="F6" s="162">
        <f>Achats!F5</f>
        <v>50400</v>
      </c>
      <c r="G6" s="160">
        <f>Achats!G5</f>
        <v>50400</v>
      </c>
      <c r="H6" s="163">
        <f>Achats!H5</f>
        <v>50400</v>
      </c>
    </row>
    <row r="7" spans="2:8" ht="15">
      <c r="B7" s="63" t="s">
        <v>20</v>
      </c>
      <c r="C7" s="160">
        <v>10600</v>
      </c>
      <c r="D7" s="162">
        <v>10600</v>
      </c>
      <c r="E7" s="160">
        <v>10600</v>
      </c>
      <c r="F7" s="162">
        <v>10600</v>
      </c>
      <c r="G7" s="160">
        <v>10600</v>
      </c>
      <c r="H7" s="163">
        <v>10600</v>
      </c>
    </row>
    <row r="8" spans="2:8" ht="15">
      <c r="B8" s="63" t="s">
        <v>21</v>
      </c>
      <c r="C8" s="160">
        <v>64000</v>
      </c>
      <c r="D8" s="161"/>
      <c r="E8" s="160"/>
      <c r="F8" s="162"/>
      <c r="G8" s="160"/>
      <c r="H8" s="163"/>
    </row>
    <row r="9" spans="2:8" ht="15.75" thickBot="1">
      <c r="B9" s="44" t="s">
        <v>24</v>
      </c>
      <c r="C9" s="164"/>
      <c r="D9" s="165">
        <f>C11</f>
        <v>26000</v>
      </c>
      <c r="E9" s="164">
        <f>D11</f>
        <v>0</v>
      </c>
      <c r="F9" s="165">
        <f>E11</f>
        <v>0</v>
      </c>
      <c r="G9" s="164">
        <f>F11</f>
        <v>0</v>
      </c>
      <c r="H9" s="166">
        <f>G11</f>
        <v>0</v>
      </c>
    </row>
    <row r="10" spans="2:8" ht="15.75" thickBot="1">
      <c r="B10" s="89" t="s">
        <v>7</v>
      </c>
      <c r="C10" s="49" t="str">
        <f aca="true" t="shared" si="0" ref="C10:H10">IF(C4+C5-C6-C7-C8-C9&lt;0," ",C4+C5-C6-C7-C8-C9)</f>
        <v> </v>
      </c>
      <c r="D10" s="50">
        <f t="shared" si="0"/>
        <v>12000</v>
      </c>
      <c r="E10" s="49">
        <f t="shared" si="0"/>
        <v>38000</v>
      </c>
      <c r="F10" s="50">
        <f t="shared" si="0"/>
        <v>65000</v>
      </c>
      <c r="G10" s="49">
        <f t="shared" si="0"/>
        <v>65000</v>
      </c>
      <c r="H10" s="79">
        <f t="shared" si="0"/>
        <v>65000</v>
      </c>
    </row>
    <row r="11" spans="2:8" ht="15.75" thickBot="1">
      <c r="B11" s="89" t="s">
        <v>8</v>
      </c>
      <c r="C11" s="49">
        <f aca="true" t="shared" si="1" ref="C11:H11">IF(C4+C5-C6-C7-C8-C9&gt;0,0,(C4+C5-C6-C7-C8-C9)*-1)</f>
        <v>26000</v>
      </c>
      <c r="D11" s="50">
        <f t="shared" si="1"/>
        <v>0</v>
      </c>
      <c r="E11" s="49">
        <f t="shared" si="1"/>
        <v>0</v>
      </c>
      <c r="F11" s="50">
        <f t="shared" si="1"/>
        <v>0</v>
      </c>
      <c r="G11" s="49">
        <f t="shared" si="1"/>
        <v>0</v>
      </c>
      <c r="H11" s="51">
        <f t="shared" si="1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62" spans="2:8" ht="15">
      <c r="B62" s="8"/>
      <c r="C62" s="8"/>
      <c r="D62" s="8"/>
      <c r="E62" s="8"/>
      <c r="F62" s="8"/>
      <c r="G62" s="8"/>
      <c r="H62" s="8"/>
    </row>
    <row r="63" spans="2:8" ht="15">
      <c r="B63" s="8"/>
      <c r="C63" s="8"/>
      <c r="D63" s="8"/>
      <c r="E63" s="8"/>
      <c r="F63" s="8"/>
      <c r="G63" s="8"/>
      <c r="H63" s="8"/>
    </row>
    <row r="64" spans="2:8" ht="15">
      <c r="B64" s="8"/>
      <c r="C64" s="8"/>
      <c r="D64" s="8"/>
      <c r="E64" s="8"/>
      <c r="F64" s="8"/>
      <c r="G64" s="8"/>
      <c r="H64" s="8"/>
    </row>
    <row r="65" spans="2:8" ht="15">
      <c r="B65" s="8"/>
      <c r="C65" s="8"/>
      <c r="D65" s="8"/>
      <c r="E65" s="8"/>
      <c r="F65" s="8"/>
      <c r="G65" s="8"/>
      <c r="H65" s="8"/>
    </row>
    <row r="66" spans="2:8" ht="15">
      <c r="B66" s="9"/>
      <c r="C66" s="9"/>
      <c r="D66" s="184"/>
      <c r="E66" s="184"/>
      <c r="F66" s="9"/>
      <c r="G66" s="8"/>
      <c r="H66" s="8"/>
    </row>
    <row r="67" spans="2:8" ht="15">
      <c r="B67" s="8"/>
      <c r="C67" s="10"/>
      <c r="D67" s="8"/>
      <c r="E67" s="8"/>
      <c r="F67" s="8"/>
      <c r="G67" s="8"/>
      <c r="H67" s="8"/>
    </row>
    <row r="68" spans="2:8" ht="15">
      <c r="B68" s="8"/>
      <c r="C68" s="10"/>
      <c r="D68" s="8"/>
      <c r="E68" s="10"/>
      <c r="F68" s="10"/>
      <c r="G68" s="8"/>
      <c r="H68" s="8"/>
    </row>
    <row r="69" spans="2:8" ht="15">
      <c r="B69" s="8"/>
      <c r="C69" s="10"/>
      <c r="D69" s="8"/>
      <c r="E69" s="8"/>
      <c r="F69" s="10"/>
      <c r="G69" s="8"/>
      <c r="H69" s="8"/>
    </row>
    <row r="70" spans="2:8" ht="15">
      <c r="B70" s="8"/>
      <c r="C70" s="10"/>
      <c r="D70" s="8"/>
      <c r="E70" s="8"/>
      <c r="F70" s="10"/>
      <c r="G70" s="8"/>
      <c r="H70" s="8"/>
    </row>
    <row r="71" spans="2:8" ht="15">
      <c r="B71" s="8"/>
      <c r="C71" s="10"/>
      <c r="D71" s="8"/>
      <c r="E71" s="8"/>
      <c r="F71" s="10"/>
      <c r="G71" s="8"/>
      <c r="H71" s="8"/>
    </row>
    <row r="72" spans="2:8" ht="15">
      <c r="B72" s="8"/>
      <c r="C72" s="10"/>
      <c r="D72" s="8"/>
      <c r="E72" s="8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8"/>
      <c r="F85" s="10"/>
      <c r="G85" s="8"/>
      <c r="H85" s="8"/>
    </row>
    <row r="86" spans="2:8" ht="15">
      <c r="B86" s="8"/>
      <c r="C86" s="10"/>
      <c r="D86" s="8"/>
      <c r="E86" s="10"/>
      <c r="F86" s="10"/>
      <c r="G86" s="10"/>
      <c r="H86" s="8"/>
    </row>
    <row r="87" spans="2:8" ht="15">
      <c r="B87" s="8"/>
      <c r="C87" s="10"/>
      <c r="D87" s="8"/>
      <c r="E87" s="8"/>
      <c r="F87" s="10"/>
      <c r="G87" s="8"/>
      <c r="H87" s="8"/>
    </row>
    <row r="88" spans="2:8" ht="15">
      <c r="B88" s="11"/>
      <c r="C88" s="12"/>
      <c r="D88" s="13"/>
      <c r="E88" s="13"/>
      <c r="F88" s="10"/>
      <c r="G88" s="8"/>
      <c r="H88" s="8"/>
    </row>
    <row r="89" spans="2:8" ht="15">
      <c r="B89" s="8"/>
      <c r="C89" s="10"/>
      <c r="D89" s="8"/>
      <c r="E89" s="8"/>
      <c r="F89" s="10"/>
      <c r="G89" s="8"/>
      <c r="H89" s="8"/>
    </row>
    <row r="90" spans="2:8" ht="15">
      <c r="B90" s="8"/>
      <c r="C90" s="10"/>
      <c r="D90" s="8"/>
      <c r="E90" s="10"/>
      <c r="F90" s="10"/>
      <c r="G90" s="8"/>
      <c r="H90" s="8"/>
    </row>
    <row r="91" spans="2:8" ht="15">
      <c r="B91" s="8"/>
      <c r="C91" s="8"/>
      <c r="D91" s="8"/>
      <c r="E91" s="8"/>
      <c r="F91" s="8"/>
      <c r="G91" s="8"/>
      <c r="H91" s="8"/>
    </row>
    <row r="92" spans="2:8" ht="15">
      <c r="B92" s="8"/>
      <c r="C92" s="8"/>
      <c r="D92" s="8"/>
      <c r="E92" s="8"/>
      <c r="F92" s="8"/>
      <c r="G92" s="8"/>
      <c r="H92" s="8"/>
    </row>
    <row r="93" spans="2:8" ht="15">
      <c r="B93" s="8"/>
      <c r="C93" s="8"/>
      <c r="D93" s="8"/>
      <c r="E93" s="8"/>
      <c r="F93" s="8"/>
      <c r="G93" s="8"/>
      <c r="H93" s="8"/>
    </row>
    <row r="94" spans="2:8" ht="15">
      <c r="B94" s="8"/>
      <c r="C94" s="8"/>
      <c r="D94" s="8"/>
      <c r="E94" s="8"/>
      <c r="F94" s="8"/>
      <c r="G94" s="8"/>
      <c r="H94" s="8"/>
    </row>
    <row r="95" spans="2:8" ht="15">
      <c r="B95" s="8"/>
      <c r="C95" s="8"/>
      <c r="D95" s="8"/>
      <c r="E95" s="8"/>
      <c r="F95" s="8"/>
      <c r="G95" s="8"/>
      <c r="H95" s="8"/>
    </row>
    <row r="96" spans="2:8" ht="15">
      <c r="B96" s="14"/>
      <c r="C96" s="14"/>
      <c r="D96" s="14"/>
      <c r="E96" s="14"/>
      <c r="F96" s="8"/>
      <c r="G96" s="8"/>
      <c r="H96" s="8"/>
    </row>
    <row r="97" spans="2:8" ht="15">
      <c r="B97" s="14"/>
      <c r="C97" s="14"/>
      <c r="D97" s="14"/>
      <c r="E97" s="14"/>
      <c r="F97" s="8"/>
      <c r="G97" s="8"/>
      <c r="H97" s="8"/>
    </row>
    <row r="98" spans="2:8" ht="15">
      <c r="B98" s="15"/>
      <c r="C98" s="14"/>
      <c r="D98" s="185"/>
      <c r="E98" s="185"/>
      <c r="F98" s="8"/>
      <c r="G98" s="8"/>
      <c r="H98" s="8"/>
    </row>
    <row r="99" spans="2:8" ht="15">
      <c r="B99" s="14"/>
      <c r="C99" s="14"/>
      <c r="D99" s="14"/>
      <c r="E99" s="16"/>
      <c r="F99" s="8"/>
      <c r="G99" s="8"/>
      <c r="H99" s="8"/>
    </row>
    <row r="100" spans="2:8" ht="15">
      <c r="B100" s="14"/>
      <c r="C100" s="14"/>
      <c r="D100" s="14"/>
      <c r="E100" s="16"/>
      <c r="F100" s="8"/>
      <c r="G100" s="8"/>
      <c r="H100" s="8"/>
    </row>
    <row r="101" spans="2:8" ht="15">
      <c r="B101" s="14"/>
      <c r="C101" s="14"/>
      <c r="D101" s="14"/>
      <c r="E101" s="16"/>
      <c r="F101" s="8"/>
      <c r="G101" s="8"/>
      <c r="H101" s="8"/>
    </row>
    <row r="102" spans="2:8" ht="15">
      <c r="B102" s="14"/>
      <c r="C102" s="8"/>
      <c r="D102" s="14"/>
      <c r="E102" s="16"/>
      <c r="F102" s="8"/>
      <c r="G102" s="8"/>
      <c r="H102" s="8"/>
    </row>
    <row r="103" spans="2:8" ht="15">
      <c r="B103" s="14"/>
      <c r="C103" s="8"/>
      <c r="D103" s="14"/>
      <c r="E103" s="16"/>
      <c r="F103" s="8"/>
      <c r="G103" s="8"/>
      <c r="H103" s="8"/>
    </row>
    <row r="104" spans="2:8" ht="15">
      <c r="B104" s="14"/>
      <c r="C104" s="8"/>
      <c r="D104" s="17"/>
      <c r="E104" s="18"/>
      <c r="F104" s="8"/>
      <c r="G104" s="8"/>
      <c r="H104" s="8"/>
    </row>
    <row r="105" spans="2:8" ht="15">
      <c r="B105" s="14"/>
      <c r="C105" s="8"/>
      <c r="D105" s="14"/>
      <c r="E105" s="16"/>
      <c r="F105" s="8"/>
      <c r="G105" s="8"/>
      <c r="H105" s="8"/>
    </row>
    <row r="106" spans="2:8" ht="15">
      <c r="B106" s="14"/>
      <c r="C106" s="8"/>
      <c r="D106" s="14"/>
      <c r="E106" s="16"/>
      <c r="F106" s="19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4"/>
      <c r="E108" s="16"/>
      <c r="F108" s="8"/>
      <c r="G108" s="8"/>
      <c r="H108" s="8"/>
    </row>
    <row r="109" spans="2:8" ht="15">
      <c r="B109" s="14"/>
      <c r="C109" s="8"/>
      <c r="D109" s="14"/>
      <c r="E109" s="16"/>
      <c r="F109" s="8"/>
      <c r="G109" s="8"/>
      <c r="H109" s="8"/>
    </row>
    <row r="110" spans="2:8" ht="15">
      <c r="B110" s="14"/>
      <c r="C110" s="14"/>
      <c r="D110" s="14"/>
      <c r="E110" s="16"/>
      <c r="F110" s="8"/>
      <c r="G110" s="8"/>
      <c r="H110" s="8"/>
    </row>
    <row r="111" spans="2:8" ht="15">
      <c r="B111" s="14"/>
      <c r="C111" s="14"/>
      <c r="D111" s="14"/>
      <c r="E111" s="16"/>
      <c r="F111" s="8"/>
      <c r="G111" s="8"/>
      <c r="H111" s="8"/>
    </row>
    <row r="112" spans="2:8" ht="15">
      <c r="B112" s="14"/>
      <c r="C112" s="14"/>
      <c r="D112" s="14"/>
      <c r="E112" s="16"/>
      <c r="F112" s="8"/>
      <c r="G112" s="8"/>
      <c r="H112" s="8"/>
    </row>
    <row r="113" spans="2:8" ht="15">
      <c r="B113" s="14"/>
      <c r="C113" s="14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6"/>
      <c r="F114" s="8"/>
      <c r="G114" s="8"/>
      <c r="H114" s="8"/>
    </row>
    <row r="115" spans="2:8" ht="15">
      <c r="B115" s="14"/>
      <c r="C115" s="14"/>
      <c r="D115" s="14"/>
      <c r="E115" s="14"/>
      <c r="F115" s="8"/>
      <c r="G115" s="8"/>
      <c r="H115" s="8"/>
    </row>
    <row r="116" spans="2:8" ht="15">
      <c r="B116" s="8"/>
      <c r="C116" s="8"/>
      <c r="D116" s="8"/>
      <c r="E116" s="8"/>
      <c r="F116" s="8"/>
      <c r="G116" s="8"/>
      <c r="H116" s="8"/>
    </row>
    <row r="117" spans="2:8" ht="15">
      <c r="B117" s="8"/>
      <c r="C117" s="8"/>
      <c r="D117" s="8"/>
      <c r="E117" s="8"/>
      <c r="F117" s="8"/>
      <c r="G117" s="8"/>
      <c r="H117" s="8"/>
    </row>
  </sheetData>
  <sheetProtection sheet="1"/>
  <mergeCells count="3">
    <mergeCell ref="B2:H2"/>
    <mergeCell ref="D66:E66"/>
    <mergeCell ref="D98:E9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X14"/>
  <sheetViews>
    <sheetView showGridLines="0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9" width="11.7109375" style="1" customWidth="1"/>
    <col min="10" max="13" width="19.00390625" style="19" bestFit="1" customWidth="1"/>
    <col min="14" max="50" width="11.421875" style="19" customWidth="1"/>
    <col min="51" max="16384" width="11.421875" style="1" customWidth="1"/>
  </cols>
  <sheetData>
    <row r="1" spans="2:8" ht="15.75" thickBot="1">
      <c r="B1" s="2"/>
      <c r="C1" s="2"/>
      <c r="D1" s="3"/>
      <c r="E1" s="4"/>
      <c r="F1" s="2"/>
      <c r="G1" s="3"/>
      <c r="H1" s="5"/>
    </row>
    <row r="2" spans="2:9" ht="15.75" thickBot="1">
      <c r="B2" s="186" t="s">
        <v>86</v>
      </c>
      <c r="C2" s="187"/>
      <c r="D2" s="187"/>
      <c r="E2" s="187"/>
      <c r="F2" s="187"/>
      <c r="G2" s="187"/>
      <c r="H2" s="187"/>
      <c r="I2" s="188"/>
    </row>
    <row r="3" spans="2:13" ht="15.75" thickBot="1">
      <c r="B3" s="27" t="s">
        <v>0</v>
      </c>
      <c r="C3" s="39" t="s">
        <v>27</v>
      </c>
      <c r="D3" s="31" t="s">
        <v>28</v>
      </c>
      <c r="E3" s="39" t="s">
        <v>29</v>
      </c>
      <c r="F3" s="31" t="s">
        <v>30</v>
      </c>
      <c r="G3" s="39" t="s">
        <v>31</v>
      </c>
      <c r="H3" s="39" t="s">
        <v>32</v>
      </c>
      <c r="I3" s="36" t="s">
        <v>33</v>
      </c>
      <c r="J3" s="56"/>
      <c r="K3" s="56"/>
      <c r="L3" s="56"/>
      <c r="M3" s="56"/>
    </row>
    <row r="4" spans="2:13" ht="15">
      <c r="B4" s="62" t="s">
        <v>9</v>
      </c>
      <c r="C4" s="167">
        <v>301040</v>
      </c>
      <c r="D4" s="168">
        <v>101600</v>
      </c>
      <c r="E4" s="64"/>
      <c r="F4" s="65"/>
      <c r="G4" s="64"/>
      <c r="H4" s="64"/>
      <c r="I4" s="66"/>
      <c r="J4" s="57"/>
      <c r="K4" s="57"/>
      <c r="L4" s="57"/>
      <c r="M4" s="57"/>
    </row>
    <row r="5" spans="2:13" ht="15">
      <c r="B5" s="63" t="s">
        <v>73</v>
      </c>
      <c r="C5" s="67">
        <f>Ventes!C12*0.25</f>
        <v>121500</v>
      </c>
      <c r="D5" s="55">
        <f>Ventes!C12*0.5</f>
        <v>243000</v>
      </c>
      <c r="E5" s="67">
        <f>Ventes!C12*0.25</f>
        <v>121500</v>
      </c>
      <c r="F5" s="55"/>
      <c r="G5" s="67"/>
      <c r="H5" s="67"/>
      <c r="I5" s="68"/>
      <c r="J5" s="57"/>
      <c r="K5" s="57"/>
      <c r="L5" s="57"/>
      <c r="M5" s="57"/>
    </row>
    <row r="6" spans="2:13" ht="15">
      <c r="B6" s="63" t="s">
        <v>74</v>
      </c>
      <c r="C6" s="67"/>
      <c r="D6" s="55">
        <f>Ventes!D12*0.25</f>
        <v>121500</v>
      </c>
      <c r="E6" s="67">
        <f>Ventes!D12*0.5</f>
        <v>243000</v>
      </c>
      <c r="F6" s="55">
        <f>Ventes!D12*0.25</f>
        <v>121500</v>
      </c>
      <c r="G6" s="67"/>
      <c r="H6" s="67"/>
      <c r="I6" s="68"/>
      <c r="J6" s="57"/>
      <c r="K6" s="57"/>
      <c r="L6" s="57"/>
      <c r="M6" s="57"/>
    </row>
    <row r="7" spans="2:13" ht="15">
      <c r="B7" s="63" t="s">
        <v>75</v>
      </c>
      <c r="C7" s="67"/>
      <c r="D7" s="55"/>
      <c r="E7" s="67">
        <f>Ventes!E12*0.25</f>
        <v>121500</v>
      </c>
      <c r="F7" s="55">
        <f>Ventes!E12*0.5</f>
        <v>243000</v>
      </c>
      <c r="G7" s="67">
        <f>Ventes!E12*0.25</f>
        <v>121500</v>
      </c>
      <c r="H7" s="67"/>
      <c r="I7" s="68"/>
      <c r="J7" s="57"/>
      <c r="K7" s="57"/>
      <c r="L7" s="57"/>
      <c r="M7" s="57"/>
    </row>
    <row r="8" spans="2:13" ht="15">
      <c r="B8" s="63" t="s">
        <v>76</v>
      </c>
      <c r="C8" s="67"/>
      <c r="D8" s="55"/>
      <c r="E8" s="67"/>
      <c r="F8" s="55">
        <f>Ventes!F12*0.25</f>
        <v>189000</v>
      </c>
      <c r="G8" s="67">
        <f>Ventes!F12*0.5</f>
        <v>378000</v>
      </c>
      <c r="H8" s="67">
        <f>Ventes!F12*0.25</f>
        <v>189000</v>
      </c>
      <c r="I8" s="68"/>
      <c r="J8" s="57"/>
      <c r="K8" s="57"/>
      <c r="L8" s="57"/>
      <c r="M8" s="57"/>
    </row>
    <row r="9" spans="2:13" ht="15">
      <c r="B9" s="63" t="s">
        <v>77</v>
      </c>
      <c r="C9" s="67"/>
      <c r="D9" s="55"/>
      <c r="E9" s="67"/>
      <c r="F9" s="55"/>
      <c r="G9" s="67">
        <f>Ventes!G12*0.25</f>
        <v>189000</v>
      </c>
      <c r="H9" s="67">
        <f>Ventes!G12*0.5</f>
        <v>378000</v>
      </c>
      <c r="I9" s="68">
        <f>Ventes!G12*0.25</f>
        <v>189000</v>
      </c>
      <c r="J9" s="57"/>
      <c r="K9" s="57"/>
      <c r="L9" s="57"/>
      <c r="M9" s="57"/>
    </row>
    <row r="10" spans="2:13" ht="15.75" thickBot="1">
      <c r="B10" s="30" t="s">
        <v>78</v>
      </c>
      <c r="C10" s="69"/>
      <c r="D10" s="70"/>
      <c r="E10" s="69"/>
      <c r="F10" s="70"/>
      <c r="G10" s="69"/>
      <c r="H10" s="69">
        <f>Ventes!H12*0.25</f>
        <v>189000</v>
      </c>
      <c r="I10" s="71">
        <f>Ventes!H12*0.75</f>
        <v>567000</v>
      </c>
      <c r="J10" s="57"/>
      <c r="K10" s="57"/>
      <c r="L10" s="57"/>
      <c r="M10" s="57"/>
    </row>
    <row r="11" spans="2:50" s="2" customFormat="1" ht="15.75" thickBot="1">
      <c r="B11" s="89" t="s">
        <v>49</v>
      </c>
      <c r="C11" s="76">
        <f aca="true" t="shared" si="0" ref="C11:I11">SUM(C4:C10)</f>
        <v>422540</v>
      </c>
      <c r="D11" s="77">
        <f t="shared" si="0"/>
        <v>466100</v>
      </c>
      <c r="E11" s="76">
        <f t="shared" si="0"/>
        <v>486000</v>
      </c>
      <c r="F11" s="77">
        <f t="shared" si="0"/>
        <v>553500</v>
      </c>
      <c r="G11" s="76">
        <f t="shared" si="0"/>
        <v>688500</v>
      </c>
      <c r="H11" s="76">
        <f t="shared" si="0"/>
        <v>756000</v>
      </c>
      <c r="I11" s="80">
        <f t="shared" si="0"/>
        <v>756000</v>
      </c>
      <c r="J11" s="59"/>
      <c r="K11" s="59"/>
      <c r="L11" s="59"/>
      <c r="M11" s="59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</row>
    <row r="12" spans="2:13" ht="15.75" thickBot="1">
      <c r="B12" s="44" t="s">
        <v>23</v>
      </c>
      <c r="C12" s="72">
        <f>C11</f>
        <v>422540</v>
      </c>
      <c r="D12" s="73">
        <f aca="true" t="shared" si="1" ref="D12:I12">C12+D11</f>
        <v>888640</v>
      </c>
      <c r="E12" s="72">
        <f t="shared" si="1"/>
        <v>1374640</v>
      </c>
      <c r="F12" s="73">
        <f t="shared" si="1"/>
        <v>1928140</v>
      </c>
      <c r="G12" s="72">
        <f t="shared" si="1"/>
        <v>2616640</v>
      </c>
      <c r="H12" s="75">
        <f t="shared" si="1"/>
        <v>3372640</v>
      </c>
      <c r="I12" s="74">
        <f t="shared" si="1"/>
        <v>4128640</v>
      </c>
      <c r="J12" s="57"/>
      <c r="K12" s="57"/>
      <c r="L12" s="57"/>
      <c r="M12" s="57"/>
    </row>
    <row r="14" spans="2:50" s="8" customFormat="1" ht="15">
      <c r="B14" s="19"/>
      <c r="C14" s="10"/>
      <c r="D14" s="10"/>
      <c r="E14" s="10"/>
      <c r="F14" s="10"/>
      <c r="G14" s="10"/>
      <c r="H14" s="60"/>
      <c r="I14" s="6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</sheetData>
  <sheetProtection sheet="1"/>
  <mergeCells count="1">
    <mergeCell ref="B2:I2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X25"/>
  <sheetViews>
    <sheetView showGridLines="0" zoomScalePageLayoutView="0" workbookViewId="0" topLeftCell="A1">
      <selection activeCell="H24" sqref="H24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9" width="11.7109375" style="1" customWidth="1"/>
    <col min="10" max="13" width="19.00390625" style="19" bestFit="1" customWidth="1"/>
    <col min="14" max="50" width="11.421875" style="19" customWidth="1"/>
    <col min="51" max="16384" width="11.421875" style="1" customWidth="1"/>
  </cols>
  <sheetData>
    <row r="1" spans="2:8" ht="15.75" thickBot="1">
      <c r="B1" s="2"/>
      <c r="C1" s="2"/>
      <c r="D1" s="3"/>
      <c r="E1" s="4"/>
      <c r="F1" s="2"/>
      <c r="G1" s="3"/>
      <c r="H1" s="5"/>
    </row>
    <row r="2" spans="2:9" ht="15.75" thickBot="1">
      <c r="B2" s="186" t="s">
        <v>87</v>
      </c>
      <c r="C2" s="187"/>
      <c r="D2" s="187"/>
      <c r="E2" s="187"/>
      <c r="F2" s="187"/>
      <c r="G2" s="187"/>
      <c r="H2" s="187"/>
      <c r="I2" s="188"/>
    </row>
    <row r="3" spans="2:13" s="19" customFormat="1" ht="15.75" thickBot="1">
      <c r="B3" s="81" t="s">
        <v>0</v>
      </c>
      <c r="C3" s="31" t="s">
        <v>27</v>
      </c>
      <c r="D3" s="39" t="s">
        <v>28</v>
      </c>
      <c r="E3" s="31" t="s">
        <v>29</v>
      </c>
      <c r="F3" s="39" t="s">
        <v>30</v>
      </c>
      <c r="G3" s="31" t="s">
        <v>31</v>
      </c>
      <c r="H3" s="39" t="s">
        <v>32</v>
      </c>
      <c r="I3" s="36" t="s">
        <v>33</v>
      </c>
      <c r="J3" s="56"/>
      <c r="K3" s="56"/>
      <c r="L3" s="56"/>
      <c r="M3" s="56"/>
    </row>
    <row r="4" spans="2:17" s="19" customFormat="1" ht="15">
      <c r="B4" s="24" t="s">
        <v>11</v>
      </c>
      <c r="C4" s="158">
        <v>79000</v>
      </c>
      <c r="D4" s="157">
        <v>81000</v>
      </c>
      <c r="E4" s="158"/>
      <c r="F4" s="157"/>
      <c r="G4" s="158"/>
      <c r="H4" s="157"/>
      <c r="I4" s="159"/>
      <c r="J4" s="57"/>
      <c r="K4" s="57"/>
      <c r="L4" s="57"/>
      <c r="M4" s="57"/>
      <c r="N4" s="57"/>
      <c r="O4" s="57"/>
      <c r="P4" s="57"/>
      <c r="Q4" s="57"/>
    </row>
    <row r="5" spans="2:17" s="19" customFormat="1" ht="15">
      <c r="B5" s="25" t="s">
        <v>79</v>
      </c>
      <c r="C5" s="162">
        <f>Achats!C6*0.4</f>
        <v>77760</v>
      </c>
      <c r="D5" s="160"/>
      <c r="E5" s="162">
        <f>Achats!C6*0.6</f>
        <v>116640</v>
      </c>
      <c r="F5" s="160"/>
      <c r="G5" s="162"/>
      <c r="H5" s="160"/>
      <c r="I5" s="163"/>
      <c r="J5" s="57"/>
      <c r="K5" s="57"/>
      <c r="L5" s="57"/>
      <c r="M5" s="57"/>
      <c r="N5" s="57"/>
      <c r="O5" s="57"/>
      <c r="P5" s="57"/>
      <c r="Q5" s="57"/>
    </row>
    <row r="6" spans="2:17" s="19" customFormat="1" ht="15">
      <c r="B6" s="25" t="s">
        <v>80</v>
      </c>
      <c r="C6" s="162"/>
      <c r="D6" s="160">
        <f>Achats!D6*0.4</f>
        <v>77760</v>
      </c>
      <c r="E6" s="162"/>
      <c r="F6" s="160">
        <f>Achats!D6*0.6</f>
        <v>116640</v>
      </c>
      <c r="G6" s="162"/>
      <c r="H6" s="160"/>
      <c r="I6" s="163"/>
      <c r="J6" s="57"/>
      <c r="K6" s="57"/>
      <c r="L6" s="57"/>
      <c r="M6" s="57"/>
      <c r="N6" s="57"/>
      <c r="O6" s="57"/>
      <c r="P6" s="57"/>
      <c r="Q6" s="57"/>
    </row>
    <row r="7" spans="2:17" s="19" customFormat="1" ht="15">
      <c r="B7" s="25" t="s">
        <v>81</v>
      </c>
      <c r="C7" s="162"/>
      <c r="D7" s="160"/>
      <c r="E7" s="162">
        <f>Achats!E6*0.4</f>
        <v>77760</v>
      </c>
      <c r="F7" s="160"/>
      <c r="G7" s="162">
        <f>Achats!E6*0.6</f>
        <v>116640</v>
      </c>
      <c r="H7" s="160"/>
      <c r="I7" s="163"/>
      <c r="J7" s="57"/>
      <c r="K7" s="57"/>
      <c r="L7" s="57"/>
      <c r="M7" s="57"/>
      <c r="N7" s="57"/>
      <c r="O7" s="57"/>
      <c r="P7" s="57"/>
      <c r="Q7" s="57"/>
    </row>
    <row r="8" spans="2:17" s="19" customFormat="1" ht="15">
      <c r="B8" s="25" t="s">
        <v>82</v>
      </c>
      <c r="C8" s="162"/>
      <c r="D8" s="160"/>
      <c r="E8" s="162"/>
      <c r="F8" s="160">
        <f>Achats!F6*0.4</f>
        <v>120960</v>
      </c>
      <c r="G8" s="162"/>
      <c r="H8" s="160">
        <f>Achats!F6*0.6</f>
        <v>181440</v>
      </c>
      <c r="I8" s="163"/>
      <c r="J8" s="57"/>
      <c r="K8" s="57"/>
      <c r="L8" s="57"/>
      <c r="M8" s="57"/>
      <c r="N8" s="57"/>
      <c r="O8" s="57"/>
      <c r="P8" s="57"/>
      <c r="Q8" s="57"/>
    </row>
    <row r="9" spans="2:17" s="19" customFormat="1" ht="15">
      <c r="B9" s="25" t="s">
        <v>83</v>
      </c>
      <c r="C9" s="162"/>
      <c r="D9" s="160"/>
      <c r="E9" s="162"/>
      <c r="F9" s="160"/>
      <c r="G9" s="162">
        <f>Achats!G6*0.4</f>
        <v>120960</v>
      </c>
      <c r="H9" s="160"/>
      <c r="I9" s="163">
        <f>Achats!G6*0.6</f>
        <v>181440</v>
      </c>
      <c r="J9" s="57"/>
      <c r="K9" s="57"/>
      <c r="L9" s="57"/>
      <c r="M9" s="57"/>
      <c r="N9" s="57"/>
      <c r="O9" s="57"/>
      <c r="P9" s="57"/>
      <c r="Q9" s="57"/>
    </row>
    <row r="10" spans="2:17" s="19" customFormat="1" ht="15.75" thickBot="1">
      <c r="B10" s="25" t="s">
        <v>84</v>
      </c>
      <c r="C10" s="162"/>
      <c r="D10" s="160"/>
      <c r="E10" s="162"/>
      <c r="F10" s="160"/>
      <c r="G10" s="162"/>
      <c r="H10" s="160">
        <f>Achats!H6*0.4</f>
        <v>120960</v>
      </c>
      <c r="I10" s="169">
        <f>Achats!H6*0.6</f>
        <v>181440</v>
      </c>
      <c r="J10" s="57"/>
      <c r="K10" s="57"/>
      <c r="L10" s="57"/>
      <c r="M10" s="57"/>
      <c r="N10" s="57"/>
      <c r="O10" s="57"/>
      <c r="P10" s="57"/>
      <c r="Q10" s="57"/>
    </row>
    <row r="11" spans="2:17" s="19" customFormat="1" ht="15.75" thickBot="1">
      <c r="B11" s="25" t="s">
        <v>85</v>
      </c>
      <c r="C11" s="162"/>
      <c r="D11" s="160"/>
      <c r="E11" s="170"/>
      <c r="F11" s="160"/>
      <c r="G11" s="162"/>
      <c r="H11" s="160"/>
      <c r="I11" s="171">
        <f>I9+I10</f>
        <v>362880</v>
      </c>
      <c r="J11" s="57"/>
      <c r="K11" s="57"/>
      <c r="L11" s="57"/>
      <c r="M11" s="57"/>
      <c r="N11" s="57"/>
      <c r="O11" s="57"/>
      <c r="P11" s="57"/>
      <c r="Q11" s="57"/>
    </row>
    <row r="12" spans="2:17" s="19" customFormat="1" ht="15">
      <c r="B12" s="25" t="s">
        <v>7</v>
      </c>
      <c r="C12" s="162">
        <v>29120</v>
      </c>
      <c r="D12" s="160" t="str">
        <f>TVA!C10</f>
        <v> </v>
      </c>
      <c r="E12" s="162">
        <f>TVA!D10</f>
        <v>12000</v>
      </c>
      <c r="F12" s="160">
        <f>TVA!E10</f>
        <v>38000</v>
      </c>
      <c r="G12" s="162">
        <f>TVA!F10</f>
        <v>65000</v>
      </c>
      <c r="H12" s="160">
        <f>TVA!G10</f>
        <v>65000</v>
      </c>
      <c r="I12" s="172">
        <f>TVA!H10</f>
        <v>65000</v>
      </c>
      <c r="J12" s="57"/>
      <c r="K12" s="57"/>
      <c r="L12" s="57"/>
      <c r="M12" s="57"/>
      <c r="N12" s="57"/>
      <c r="O12" s="57"/>
      <c r="P12" s="57"/>
      <c r="Q12" s="57"/>
    </row>
    <row r="13" spans="2:17" s="19" customFormat="1" ht="15">
      <c r="B13" s="25" t="s">
        <v>13</v>
      </c>
      <c r="C13" s="162">
        <v>125000</v>
      </c>
      <c r="D13" s="160">
        <v>125000</v>
      </c>
      <c r="E13" s="162">
        <v>125000</v>
      </c>
      <c r="F13" s="160">
        <v>125000</v>
      </c>
      <c r="G13" s="162">
        <v>125000</v>
      </c>
      <c r="H13" s="160">
        <v>125000</v>
      </c>
      <c r="I13" s="163">
        <v>125000</v>
      </c>
      <c r="J13" s="57"/>
      <c r="K13" s="57"/>
      <c r="L13" s="57"/>
      <c r="M13" s="57"/>
      <c r="N13" s="57"/>
      <c r="O13" s="57"/>
      <c r="P13" s="57"/>
      <c r="Q13" s="57"/>
    </row>
    <row r="14" spans="2:17" s="19" customFormat="1" ht="15">
      <c r="B14" s="25" t="s">
        <v>88</v>
      </c>
      <c r="C14" s="162">
        <v>50000</v>
      </c>
      <c r="D14" s="160">
        <v>50000</v>
      </c>
      <c r="E14" s="162">
        <v>50000</v>
      </c>
      <c r="F14" s="160">
        <v>50000</v>
      </c>
      <c r="G14" s="162">
        <v>50000</v>
      </c>
      <c r="H14" s="160">
        <v>50000</v>
      </c>
      <c r="I14" s="163">
        <v>50000</v>
      </c>
      <c r="J14" s="57"/>
      <c r="K14" s="57"/>
      <c r="L14" s="57"/>
      <c r="M14" s="57"/>
      <c r="N14" s="57"/>
      <c r="O14" s="57"/>
      <c r="P14" s="57"/>
      <c r="Q14" s="57"/>
    </row>
    <row r="15" spans="2:17" s="19" customFormat="1" ht="15">
      <c r="B15" s="25" t="s">
        <v>90</v>
      </c>
      <c r="C15" s="162">
        <v>110600</v>
      </c>
      <c r="D15" s="160">
        <v>110600</v>
      </c>
      <c r="E15" s="162">
        <v>110600</v>
      </c>
      <c r="F15" s="160">
        <v>110600</v>
      </c>
      <c r="G15" s="162">
        <v>110600</v>
      </c>
      <c r="H15" s="160">
        <v>110600</v>
      </c>
      <c r="I15" s="163">
        <v>110600</v>
      </c>
      <c r="J15" s="57"/>
      <c r="K15" s="57"/>
      <c r="L15" s="57"/>
      <c r="M15" s="57"/>
      <c r="N15" s="57"/>
      <c r="O15" s="57"/>
      <c r="P15" s="57"/>
      <c r="Q15" s="57"/>
    </row>
    <row r="16" spans="2:17" s="19" customFormat="1" ht="15">
      <c r="B16" s="25" t="s">
        <v>18</v>
      </c>
      <c r="C16" s="162">
        <v>35000</v>
      </c>
      <c r="D16" s="160">
        <f>Ventes!C10*0.05</f>
        <v>20250</v>
      </c>
      <c r="E16" s="162">
        <f>Ventes!D10*0.05</f>
        <v>20250</v>
      </c>
      <c r="F16" s="160">
        <f>Ventes!E10*0.05</f>
        <v>20250</v>
      </c>
      <c r="G16" s="162">
        <f>Ventes!F10*0.05</f>
        <v>31500</v>
      </c>
      <c r="H16" s="160">
        <f>Ventes!G10*0.05</f>
        <v>31500</v>
      </c>
      <c r="I16" s="163">
        <f>Ventes!H10*0.05</f>
        <v>31500</v>
      </c>
      <c r="J16" s="57"/>
      <c r="K16" s="57"/>
      <c r="L16" s="57"/>
      <c r="M16" s="57"/>
      <c r="N16" s="57"/>
      <c r="O16" s="57"/>
      <c r="P16" s="57"/>
      <c r="Q16" s="57"/>
    </row>
    <row r="17" spans="2:17" s="19" customFormat="1" ht="15">
      <c r="B17" s="25" t="s">
        <v>89</v>
      </c>
      <c r="C17" s="162">
        <v>10000</v>
      </c>
      <c r="D17" s="160">
        <f aca="true" t="shared" si="0" ref="D17:I17">C16*0.4</f>
        <v>14000</v>
      </c>
      <c r="E17" s="162">
        <f t="shared" si="0"/>
        <v>8100</v>
      </c>
      <c r="F17" s="160">
        <f t="shared" si="0"/>
        <v>8100</v>
      </c>
      <c r="G17" s="162">
        <f t="shared" si="0"/>
        <v>8100</v>
      </c>
      <c r="H17" s="160">
        <f t="shared" si="0"/>
        <v>12600</v>
      </c>
      <c r="I17" s="163">
        <f t="shared" si="0"/>
        <v>12600</v>
      </c>
      <c r="J17" s="57"/>
      <c r="K17" s="57"/>
      <c r="L17" s="57"/>
      <c r="M17" s="57"/>
      <c r="N17" s="57"/>
      <c r="O17" s="57"/>
      <c r="P17" s="57"/>
      <c r="Q17" s="57"/>
    </row>
    <row r="18" spans="2:17" s="19" customFormat="1" ht="15">
      <c r="B18" s="25" t="s">
        <v>91</v>
      </c>
      <c r="C18" s="162">
        <v>84000</v>
      </c>
      <c r="D18" s="160">
        <v>50000</v>
      </c>
      <c r="E18" s="160">
        <v>50000</v>
      </c>
      <c r="F18" s="160">
        <v>50000</v>
      </c>
      <c r="G18" s="160">
        <v>50000</v>
      </c>
      <c r="H18" s="160">
        <v>50000</v>
      </c>
      <c r="I18" s="160">
        <v>50000</v>
      </c>
      <c r="J18" s="57"/>
      <c r="K18" s="57"/>
      <c r="L18" s="57"/>
      <c r="M18" s="57"/>
      <c r="N18" s="57"/>
      <c r="O18" s="57"/>
      <c r="P18" s="57"/>
      <c r="Q18" s="57"/>
    </row>
    <row r="19" spans="2:17" ht="15">
      <c r="B19" s="25" t="s">
        <v>35</v>
      </c>
      <c r="C19" s="162"/>
      <c r="D19" s="160"/>
      <c r="E19" s="162"/>
      <c r="F19" s="160"/>
      <c r="G19" s="173"/>
      <c r="H19" s="160">
        <f>148680/3</f>
        <v>49560</v>
      </c>
      <c r="I19" s="163"/>
      <c r="J19" s="57"/>
      <c r="K19" s="57"/>
      <c r="L19" s="57"/>
      <c r="M19" s="57"/>
      <c r="N19" s="57"/>
      <c r="O19" s="57"/>
      <c r="P19" s="57"/>
      <c r="Q19" s="57"/>
    </row>
    <row r="20" spans="2:17" ht="15">
      <c r="B20" s="25" t="s">
        <v>92</v>
      </c>
      <c r="C20" s="162"/>
      <c r="D20" s="160"/>
      <c r="E20" s="162"/>
      <c r="F20" s="174"/>
      <c r="G20" s="162"/>
      <c r="H20" s="160">
        <f>60000+(300000*0.12)</f>
        <v>96000</v>
      </c>
      <c r="I20" s="163"/>
      <c r="J20" s="57"/>
      <c r="K20" s="57"/>
      <c r="L20" s="57"/>
      <c r="M20" s="57"/>
      <c r="N20" s="57"/>
      <c r="O20" s="57"/>
      <c r="P20" s="57"/>
      <c r="Q20" s="57"/>
    </row>
    <row r="21" spans="2:17" ht="15">
      <c r="B21" s="25" t="s">
        <v>93</v>
      </c>
      <c r="C21" s="162"/>
      <c r="D21" s="160">
        <f>148680/3*0.25</f>
        <v>12390</v>
      </c>
      <c r="E21" s="162"/>
      <c r="F21" s="160"/>
      <c r="G21" s="162">
        <f>148680/3*0.25</f>
        <v>12390</v>
      </c>
      <c r="H21" s="160"/>
      <c r="I21" s="163">
        <v>24780</v>
      </c>
      <c r="J21" s="57"/>
      <c r="K21" s="57"/>
      <c r="L21" s="57"/>
      <c r="M21" s="57"/>
      <c r="N21" s="57"/>
      <c r="O21" s="57"/>
      <c r="P21" s="57"/>
      <c r="Q21" s="57"/>
    </row>
    <row r="22" spans="2:17" ht="15.75" thickBot="1">
      <c r="B22" s="82" t="s">
        <v>36</v>
      </c>
      <c r="C22" s="175"/>
      <c r="D22" s="176">
        <v>300000</v>
      </c>
      <c r="E22" s="175"/>
      <c r="F22" s="176"/>
      <c r="G22" s="175"/>
      <c r="H22" s="176"/>
      <c r="I22" s="169"/>
      <c r="J22" s="57"/>
      <c r="K22" s="57"/>
      <c r="L22" s="57"/>
      <c r="M22" s="57"/>
      <c r="N22" s="57"/>
      <c r="O22" s="57"/>
      <c r="P22" s="57"/>
      <c r="Q22" s="57"/>
    </row>
    <row r="23" spans="2:17" ht="15.75" thickBot="1">
      <c r="B23" s="87" t="s">
        <v>10</v>
      </c>
      <c r="C23" s="46">
        <f aca="true" t="shared" si="1" ref="C23:I23">SUM(C4:C22)</f>
        <v>600480</v>
      </c>
      <c r="D23" s="48">
        <f t="shared" si="1"/>
        <v>841000</v>
      </c>
      <c r="E23" s="46">
        <f t="shared" si="1"/>
        <v>570350</v>
      </c>
      <c r="F23" s="48">
        <f t="shared" si="1"/>
        <v>639550</v>
      </c>
      <c r="G23" s="46">
        <f t="shared" si="1"/>
        <v>690190</v>
      </c>
      <c r="H23" s="48">
        <f t="shared" si="1"/>
        <v>892660</v>
      </c>
      <c r="I23" s="47">
        <f t="shared" si="1"/>
        <v>1195240</v>
      </c>
      <c r="J23" s="58"/>
      <c r="K23" s="58"/>
      <c r="L23" s="58"/>
      <c r="M23" s="58"/>
      <c r="N23" s="58"/>
      <c r="O23" s="58"/>
      <c r="P23" s="58"/>
      <c r="Q23" s="58"/>
    </row>
    <row r="24" spans="2:17" ht="15.75" thickBot="1">
      <c r="B24" s="83" t="s">
        <v>23</v>
      </c>
      <c r="C24" s="84">
        <f>C23</f>
        <v>600480</v>
      </c>
      <c r="D24" s="85">
        <f aca="true" t="shared" si="2" ref="D24:I24">C24+D23</f>
        <v>1441480</v>
      </c>
      <c r="E24" s="84">
        <f t="shared" si="2"/>
        <v>2011830</v>
      </c>
      <c r="F24" s="85">
        <f t="shared" si="2"/>
        <v>2651380</v>
      </c>
      <c r="G24" s="84">
        <f t="shared" si="2"/>
        <v>3341570</v>
      </c>
      <c r="H24" s="88">
        <f t="shared" si="2"/>
        <v>4234230</v>
      </c>
      <c r="I24" s="86">
        <f t="shared" si="2"/>
        <v>5429470</v>
      </c>
      <c r="J24" s="57"/>
      <c r="K24" s="57"/>
      <c r="L24" s="57"/>
      <c r="M24" s="57"/>
      <c r="N24" s="57"/>
      <c r="O24" s="57"/>
      <c r="P24" s="57"/>
      <c r="Q24" s="57"/>
    </row>
    <row r="25" spans="2:50" s="8" customFormat="1" ht="15">
      <c r="B25" s="19"/>
      <c r="C25" s="10"/>
      <c r="D25" s="10"/>
      <c r="E25" s="10"/>
      <c r="F25" s="10"/>
      <c r="G25" s="10"/>
      <c r="H25" s="60"/>
      <c r="I25" s="6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</sheetData>
  <sheetProtection sheet="1"/>
  <mergeCells count="1">
    <mergeCell ref="B2:I2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8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3.7109375" style="91" customWidth="1"/>
    <col min="2" max="2" width="16.7109375" style="91" bestFit="1" customWidth="1"/>
    <col min="3" max="8" width="12.7109375" style="91" customWidth="1"/>
    <col min="9" max="16384" width="11.421875" style="91" customWidth="1"/>
  </cols>
  <sheetData>
    <row r="1" spans="2:4" ht="15.75" thickBot="1">
      <c r="B1" s="92"/>
      <c r="D1" s="93"/>
    </row>
    <row r="2" spans="2:8" ht="15.75" thickBot="1">
      <c r="B2" s="189" t="s">
        <v>87</v>
      </c>
      <c r="C2" s="190"/>
      <c r="D2" s="190"/>
      <c r="E2" s="190"/>
      <c r="F2" s="190"/>
      <c r="G2" s="190"/>
      <c r="H2" s="191"/>
    </row>
    <row r="3" spans="2:8" ht="15.75" thickBot="1">
      <c r="B3" s="98" t="s">
        <v>0</v>
      </c>
      <c r="C3" s="102" t="s">
        <v>27</v>
      </c>
      <c r="D3" s="105" t="s">
        <v>28</v>
      </c>
      <c r="E3" s="102" t="s">
        <v>29</v>
      </c>
      <c r="F3" s="105" t="s">
        <v>30</v>
      </c>
      <c r="G3" s="102" t="s">
        <v>31</v>
      </c>
      <c r="H3" s="109" t="s">
        <v>32</v>
      </c>
    </row>
    <row r="4" spans="2:8" ht="15">
      <c r="B4" s="99" t="s">
        <v>14</v>
      </c>
      <c r="C4" s="177">
        <v>220000</v>
      </c>
      <c r="D4" s="106">
        <f>C7</f>
        <v>42060</v>
      </c>
      <c r="E4" s="108">
        <f>D7</f>
        <v>-332840</v>
      </c>
      <c r="F4" s="106">
        <f>E7</f>
        <v>-417190</v>
      </c>
      <c r="G4" s="108">
        <f>F7</f>
        <v>-503240</v>
      </c>
      <c r="H4" s="110">
        <f>G7</f>
        <v>-504930</v>
      </c>
    </row>
    <row r="5" spans="2:8" ht="15">
      <c r="B5" s="100" t="s">
        <v>15</v>
      </c>
      <c r="C5" s="103">
        <f>Encaissements!C11</f>
        <v>422540</v>
      </c>
      <c r="D5" s="103">
        <f>Encaissements!D11</f>
        <v>466100</v>
      </c>
      <c r="E5" s="103">
        <f>Encaissements!E11</f>
        <v>486000</v>
      </c>
      <c r="F5" s="103">
        <f>Encaissements!F11</f>
        <v>553500</v>
      </c>
      <c r="G5" s="103">
        <f>Encaissements!G11</f>
        <v>688500</v>
      </c>
      <c r="H5" s="103">
        <f>Encaissements!H11</f>
        <v>756000</v>
      </c>
    </row>
    <row r="6" spans="2:8" ht="15">
      <c r="B6" s="100" t="s">
        <v>16</v>
      </c>
      <c r="C6" s="103">
        <f>Décaissements!C23</f>
        <v>600480</v>
      </c>
      <c r="D6" s="103">
        <f>Décaissements!D23</f>
        <v>841000</v>
      </c>
      <c r="E6" s="103">
        <f>Décaissements!E23</f>
        <v>570350</v>
      </c>
      <c r="F6" s="103">
        <f>Décaissements!F23</f>
        <v>639550</v>
      </c>
      <c r="G6" s="103">
        <f>Décaissements!G23</f>
        <v>690190</v>
      </c>
      <c r="H6" s="103">
        <f>Décaissements!H23</f>
        <v>892660</v>
      </c>
    </row>
    <row r="7" spans="2:8" ht="15.75" thickBot="1">
      <c r="B7" s="101" t="s">
        <v>17</v>
      </c>
      <c r="C7" s="104">
        <f aca="true" t="shared" si="0" ref="C7:H7">C4+C5-C6</f>
        <v>42060</v>
      </c>
      <c r="D7" s="107">
        <f t="shared" si="0"/>
        <v>-332840</v>
      </c>
      <c r="E7" s="104">
        <f t="shared" si="0"/>
        <v>-417190</v>
      </c>
      <c r="F7" s="107">
        <f t="shared" si="0"/>
        <v>-503240</v>
      </c>
      <c r="G7" s="104">
        <f t="shared" si="0"/>
        <v>-504930</v>
      </c>
      <c r="H7" s="111">
        <f t="shared" si="0"/>
        <v>-641590</v>
      </c>
    </row>
    <row r="8" spans="2:8" s="94" customFormat="1" ht="15">
      <c r="B8" s="95"/>
      <c r="C8" s="96"/>
      <c r="D8" s="96"/>
      <c r="E8" s="97"/>
      <c r="F8" s="97"/>
      <c r="G8" s="97"/>
      <c r="H8" s="97"/>
    </row>
  </sheetData>
  <sheetProtection sheet="1"/>
  <mergeCells count="1">
    <mergeCell ref="B2:H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7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14" customWidth="1"/>
    <col min="4" max="4" width="35.7109375" style="1" customWidth="1"/>
    <col min="5" max="5" width="13.7109375" style="114" customWidth="1"/>
    <col min="6" max="16384" width="11.421875" style="1" customWidth="1"/>
  </cols>
  <sheetData>
    <row r="1" ht="15.75" thickBot="1"/>
    <row r="2" spans="2:8" ht="15.75" thickBot="1">
      <c r="B2" s="189" t="s">
        <v>94</v>
      </c>
      <c r="C2" s="190"/>
      <c r="D2" s="190"/>
      <c r="E2" s="191"/>
      <c r="F2" s="115"/>
      <c r="G2" s="115"/>
      <c r="H2" s="115"/>
    </row>
    <row r="3" spans="2:5" ht="15" customHeight="1" thickBot="1">
      <c r="B3" s="192" t="s">
        <v>56</v>
      </c>
      <c r="C3" s="193"/>
      <c r="D3" s="192" t="s">
        <v>57</v>
      </c>
      <c r="E3" s="193"/>
    </row>
    <row r="4" spans="2:5" ht="15" customHeight="1">
      <c r="B4" s="120" t="s">
        <v>37</v>
      </c>
      <c r="C4" s="124">
        <f>SUM(C5:C6)-C7</f>
        <v>1716160</v>
      </c>
      <c r="D4" s="116" t="s">
        <v>101</v>
      </c>
      <c r="E4" s="129">
        <f>SUM(E5:E7)</f>
        <v>943810</v>
      </c>
    </row>
    <row r="5" spans="2:5" ht="15" customHeight="1">
      <c r="B5" s="121" t="s">
        <v>38</v>
      </c>
      <c r="C5" s="134">
        <v>28160</v>
      </c>
      <c r="D5" s="117" t="s">
        <v>41</v>
      </c>
      <c r="E5" s="134">
        <v>1100000</v>
      </c>
    </row>
    <row r="6" spans="2:5" ht="15" customHeight="1">
      <c r="B6" s="121" t="s">
        <v>39</v>
      </c>
      <c r="C6" s="134">
        <f>2000000+320000</f>
        <v>2320000</v>
      </c>
      <c r="D6" s="117" t="s">
        <v>42</v>
      </c>
      <c r="E6" s="134">
        <f>100000+49560</f>
        <v>149560</v>
      </c>
    </row>
    <row r="7" spans="2:5" ht="15" customHeight="1">
      <c r="B7" s="121" t="s">
        <v>40</v>
      </c>
      <c r="C7" s="134">
        <f>400000+'Tableau de résultat'!C11</f>
        <v>632000</v>
      </c>
      <c r="D7" s="117" t="s">
        <v>43</v>
      </c>
      <c r="E7" s="133">
        <f>C16-E5-E6-E8</f>
        <v>-305750</v>
      </c>
    </row>
    <row r="8" spans="2:5" ht="15" customHeight="1">
      <c r="B8" s="121"/>
      <c r="C8" s="121"/>
      <c r="D8" s="118" t="s">
        <v>102</v>
      </c>
      <c r="E8" s="125">
        <f>SUM(E9:E15)</f>
        <v>1878350</v>
      </c>
    </row>
    <row r="9" spans="2:6" ht="15" customHeight="1">
      <c r="B9" s="122" t="s">
        <v>96</v>
      </c>
      <c r="C9" s="125">
        <f>SUM(C10:C15)</f>
        <v>1106000</v>
      </c>
      <c r="D9" s="117" t="s">
        <v>103</v>
      </c>
      <c r="E9" s="134">
        <f>300000-60000</f>
        <v>240000</v>
      </c>
      <c r="F9" s="112"/>
    </row>
    <row r="10" spans="2:6" ht="15" customHeight="1">
      <c r="B10" s="121" t="s">
        <v>97</v>
      </c>
      <c r="C10" s="134">
        <v>110000</v>
      </c>
      <c r="D10" s="117" t="s">
        <v>45</v>
      </c>
      <c r="E10" s="134">
        <f>700000-300000</f>
        <v>400000</v>
      </c>
      <c r="F10" s="112"/>
    </row>
    <row r="11" spans="2:6" ht="15" customHeight="1">
      <c r="B11" s="121" t="s">
        <v>98</v>
      </c>
      <c r="C11" s="134">
        <v>240000</v>
      </c>
      <c r="D11" s="117" t="s">
        <v>99</v>
      </c>
      <c r="E11" s="134">
        <f>Décaissements!I11</f>
        <v>362880</v>
      </c>
      <c r="F11" s="112"/>
    </row>
    <row r="12" spans="2:6" ht="15" customHeight="1">
      <c r="B12" s="121" t="s">
        <v>9</v>
      </c>
      <c r="C12" s="126">
        <f>Encaissements!I11</f>
        <v>756000</v>
      </c>
      <c r="D12" s="117" t="s">
        <v>46</v>
      </c>
      <c r="E12" s="134">
        <f>SUM(Décaissements!I14,Décaissements!I16:I17,Décaissements!I12)</f>
        <v>159100</v>
      </c>
      <c r="F12" s="112"/>
    </row>
    <row r="13" spans="2:6" ht="15" customHeight="1">
      <c r="B13" s="121" t="s">
        <v>44</v>
      </c>
      <c r="C13" s="126">
        <f>IF(Trésorerie!H7&lt;0,0,Trésorerie!H7)</f>
        <v>0</v>
      </c>
      <c r="D13" s="117" t="s">
        <v>58</v>
      </c>
      <c r="E13" s="134">
        <f>IF(Trésorerie!H7&gt;0,0,Trésorerie!H7*-1)</f>
        <v>641590</v>
      </c>
      <c r="F13" s="112"/>
    </row>
    <row r="14" spans="2:6" ht="15" customHeight="1">
      <c r="B14" s="122"/>
      <c r="C14" s="127"/>
      <c r="D14" s="117" t="s">
        <v>63</v>
      </c>
      <c r="E14" s="134">
        <f>24780</f>
        <v>24780</v>
      </c>
      <c r="F14" s="112"/>
    </row>
    <row r="15" spans="2:6" ht="15" customHeight="1" thickBot="1">
      <c r="B15" s="123"/>
      <c r="C15" s="128"/>
      <c r="D15" s="119" t="s">
        <v>100</v>
      </c>
      <c r="E15" s="178">
        <v>50000</v>
      </c>
      <c r="F15" s="90"/>
    </row>
    <row r="16" spans="2:5" ht="15" customHeight="1" thickBot="1">
      <c r="B16" s="130" t="s">
        <v>69</v>
      </c>
      <c r="C16" s="132">
        <f>C4+C9</f>
        <v>2822160</v>
      </c>
      <c r="D16" s="131" t="s">
        <v>69</v>
      </c>
      <c r="E16" s="132">
        <f>E4+E8</f>
        <v>2822160</v>
      </c>
    </row>
    <row r="17" spans="2:5" ht="15">
      <c r="B17" s="8"/>
      <c r="C17" s="113"/>
      <c r="D17" s="8"/>
      <c r="E17" s="113"/>
    </row>
  </sheetData>
  <sheetProtection sheet="1"/>
  <mergeCells count="3">
    <mergeCell ref="B2:E2"/>
    <mergeCell ref="B3:C3"/>
    <mergeCell ref="D3:E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14" customWidth="1"/>
    <col min="4" max="4" width="35.7109375" style="1" customWidth="1"/>
    <col min="5" max="5" width="13.7109375" style="114" customWidth="1"/>
    <col min="6" max="16384" width="11.421875" style="1" customWidth="1"/>
  </cols>
  <sheetData>
    <row r="1" ht="15.75" thickBot="1"/>
    <row r="2" spans="2:5" ht="16.5" customHeight="1" thickBot="1">
      <c r="B2" s="189" t="s">
        <v>95</v>
      </c>
      <c r="C2" s="190"/>
      <c r="D2" s="190"/>
      <c r="E2" s="191"/>
    </row>
    <row r="3" spans="2:6" ht="15.75" thickBot="1">
      <c r="B3" s="192" t="s">
        <v>59</v>
      </c>
      <c r="C3" s="194"/>
      <c r="D3" s="192" t="s">
        <v>60</v>
      </c>
      <c r="E3" s="193"/>
      <c r="F3" s="8"/>
    </row>
    <row r="4" spans="2:6" ht="15">
      <c r="B4" s="139" t="s">
        <v>65</v>
      </c>
      <c r="C4" s="135">
        <f>SUM(Achats!C4:H4)</f>
        <v>1242000</v>
      </c>
      <c r="D4" s="139" t="s">
        <v>64</v>
      </c>
      <c r="E4" s="137">
        <f>SUM(Ventes!C10:H10)</f>
        <v>3105000</v>
      </c>
      <c r="F4" s="8"/>
    </row>
    <row r="5" spans="2:6" ht="15">
      <c r="B5" s="121" t="s">
        <v>47</v>
      </c>
      <c r="C5" s="179">
        <f>130000-110000</f>
        <v>20000</v>
      </c>
      <c r="D5" s="121" t="s">
        <v>61</v>
      </c>
      <c r="E5" s="180">
        <f>240000-270000</f>
        <v>-30000</v>
      </c>
      <c r="F5" s="8"/>
    </row>
    <row r="6" spans="2:6" ht="15">
      <c r="B6" s="121" t="s">
        <v>50</v>
      </c>
      <c r="C6" s="136">
        <f>SUM(Décaissements!C13:H13)</f>
        <v>750000</v>
      </c>
      <c r="D6" s="121"/>
      <c r="E6" s="138"/>
      <c r="F6" s="8"/>
    </row>
    <row r="7" spans="2:6" ht="15">
      <c r="B7" s="121" t="s">
        <v>88</v>
      </c>
      <c r="C7" s="179">
        <f>600000/2</f>
        <v>300000</v>
      </c>
      <c r="D7" s="121"/>
      <c r="E7" s="138"/>
      <c r="F7" s="8"/>
    </row>
    <row r="8" spans="2:6" ht="15">
      <c r="B8" s="121" t="s">
        <v>18</v>
      </c>
      <c r="C8" s="136">
        <f>(E4*0.05)</f>
        <v>155250</v>
      </c>
      <c r="D8" s="121"/>
      <c r="E8" s="138"/>
      <c r="F8" s="8"/>
    </row>
    <row r="9" spans="2:6" ht="15">
      <c r="B9" s="121" t="s">
        <v>104</v>
      </c>
      <c r="C9" s="136">
        <f>SUM(Décaissements!D17:I17)</f>
        <v>63500</v>
      </c>
      <c r="D9" s="121"/>
      <c r="E9" s="138"/>
      <c r="F9" s="8"/>
    </row>
    <row r="10" spans="2:6" ht="15">
      <c r="B10" s="121" t="s">
        <v>48</v>
      </c>
      <c r="C10" s="179">
        <v>600000</v>
      </c>
      <c r="D10" s="121"/>
      <c r="E10" s="138"/>
      <c r="F10" s="8"/>
    </row>
    <row r="11" spans="2:6" ht="15">
      <c r="B11" s="121" t="s">
        <v>105</v>
      </c>
      <c r="C11" s="179">
        <f>(2000000*0.2+320000*0.2)/2</f>
        <v>232000</v>
      </c>
      <c r="D11" s="121"/>
      <c r="E11" s="138"/>
      <c r="F11" s="8"/>
    </row>
    <row r="12" spans="2:6" ht="15.75" thickBot="1">
      <c r="B12" s="121" t="s">
        <v>62</v>
      </c>
      <c r="C12" s="179">
        <f>300000*0.12/2</f>
        <v>18000</v>
      </c>
      <c r="D12" s="121"/>
      <c r="E12" s="138"/>
      <c r="F12" s="8"/>
    </row>
    <row r="13" spans="2:6" ht="15.75" thickBot="1">
      <c r="B13" s="145" t="s">
        <v>51</v>
      </c>
      <c r="C13" s="143">
        <f>SUM(C4:C12)</f>
        <v>3380750</v>
      </c>
      <c r="D13" s="145" t="s">
        <v>52</v>
      </c>
      <c r="E13" s="144">
        <f>SUM(E4:E12)</f>
        <v>3075000</v>
      </c>
      <c r="F13" s="8"/>
    </row>
    <row r="14" spans="2:5" ht="15.75" thickBot="1">
      <c r="B14" s="121" t="s">
        <v>53</v>
      </c>
      <c r="C14" s="146">
        <f>IF(C13&lt;E13,E13-C13,0)</f>
        <v>0</v>
      </c>
      <c r="D14" s="121" t="s">
        <v>54</v>
      </c>
      <c r="E14" s="147">
        <f>IF(E13&lt;C13,C13-E13,0)</f>
        <v>305750</v>
      </c>
    </row>
    <row r="15" spans="2:5" ht="15.75" thickBot="1">
      <c r="B15" s="140" t="s">
        <v>55</v>
      </c>
      <c r="C15" s="141">
        <f>C13+C14</f>
        <v>3380750</v>
      </c>
      <c r="D15" s="140" t="s">
        <v>55</v>
      </c>
      <c r="E15" s="142">
        <f>E13+E14</f>
        <v>3380750</v>
      </c>
    </row>
  </sheetData>
  <sheetProtection sheet="1"/>
  <mergeCells count="3">
    <mergeCell ref="B2:E2"/>
    <mergeCell ref="B3:C3"/>
    <mergeCell ref="D3:E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antraigu</dc:creator>
  <cp:keywords/>
  <dc:description/>
  <cp:lastModifiedBy>technicien</cp:lastModifiedBy>
  <cp:lastPrinted>2007-03-20T18:05:52Z</cp:lastPrinted>
  <dcterms:created xsi:type="dcterms:W3CDTF">2004-05-13T05:59:05Z</dcterms:created>
  <dcterms:modified xsi:type="dcterms:W3CDTF">2015-06-14T08:16:35Z</dcterms:modified>
  <cp:category/>
  <cp:version/>
  <cp:contentType/>
  <cp:contentStatus/>
</cp:coreProperties>
</file>