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Ventes-Charges-TVA" sheetId="1" r:id="rId1"/>
    <sheet name="Encaissements-Décaissements" sheetId="2" r:id="rId2"/>
    <sheet name="Trésorerie" sheetId="3" r:id="rId3"/>
    <sheet name="Résultat" sheetId="4" r:id="rId4"/>
    <sheet name=" Bilan " sheetId="5" r:id="rId5"/>
  </sheets>
  <definedNames>
    <definedName name="CA_Annuel">'Ventes-Charges-TVA'!$C$2</definedName>
    <definedName name="pu">'Ventes-Charges-TVA'!#REF!</definedName>
    <definedName name="qte">'Ventes-Charges-TVA'!$C$2</definedName>
    <definedName name="tva">'Ventes-Charges-TVA'!$C$3</definedName>
    <definedName name="txh">'Ventes-Charges-TVA'!#REF!</definedName>
  </definedNames>
  <calcPr calcId="125725"/>
</workbook>
</file>

<file path=xl/calcChain.xml><?xml version="1.0" encoding="utf-8"?>
<calcChain xmlns="http://schemas.openxmlformats.org/spreadsheetml/2006/main">
  <c r="G27" i="2"/>
  <c r="D26"/>
  <c r="D34"/>
  <c r="C34"/>
  <c r="D32"/>
  <c r="E32"/>
  <c r="F32"/>
  <c r="G32"/>
  <c r="H32"/>
  <c r="I32"/>
  <c r="J32"/>
  <c r="K32"/>
  <c r="L32"/>
  <c r="M32"/>
  <c r="N32"/>
  <c r="C32"/>
  <c r="E31"/>
  <c r="F31"/>
  <c r="G31"/>
  <c r="H31"/>
  <c r="I31"/>
  <c r="J31"/>
  <c r="K31"/>
  <c r="L31"/>
  <c r="M31"/>
  <c r="N31"/>
  <c r="D31"/>
  <c r="O31"/>
  <c r="O30"/>
  <c r="E30"/>
  <c r="F30"/>
  <c r="G30"/>
  <c r="H30"/>
  <c r="I30"/>
  <c r="J30"/>
  <c r="K30"/>
  <c r="L30"/>
  <c r="M30"/>
  <c r="N30"/>
  <c r="D30"/>
  <c r="O29"/>
  <c r="E29"/>
  <c r="F29"/>
  <c r="G29"/>
  <c r="H29"/>
  <c r="I29"/>
  <c r="J29"/>
  <c r="K29"/>
  <c r="L29"/>
  <c r="M29"/>
  <c r="N29"/>
  <c r="D29"/>
  <c r="D28"/>
  <c r="E28"/>
  <c r="F28"/>
  <c r="G28"/>
  <c r="H28"/>
  <c r="I28"/>
  <c r="J28"/>
  <c r="K28"/>
  <c r="L28"/>
  <c r="M28"/>
  <c r="N28"/>
  <c r="C28"/>
  <c r="E16" i="5" l="1"/>
  <c r="E15"/>
  <c r="E13"/>
  <c r="E12"/>
  <c r="E11"/>
  <c r="E7"/>
  <c r="C14" i="4"/>
  <c r="C36" i="1"/>
  <c r="D35"/>
  <c r="E35"/>
  <c r="F35"/>
  <c r="G35"/>
  <c r="H35"/>
  <c r="I35"/>
  <c r="J35"/>
  <c r="K35"/>
  <c r="L35"/>
  <c r="M35"/>
  <c r="N35"/>
  <c r="C35"/>
  <c r="O28"/>
  <c r="O27"/>
  <c r="O26"/>
  <c r="O25"/>
  <c r="O24"/>
  <c r="O23"/>
  <c r="O22"/>
  <c r="O21"/>
  <c r="O20"/>
  <c r="C25" i="2"/>
  <c r="C33"/>
  <c r="D33"/>
  <c r="E33"/>
  <c r="F33"/>
  <c r="G33"/>
  <c r="H33"/>
  <c r="I33"/>
  <c r="J33"/>
  <c r="K33"/>
  <c r="L33"/>
  <c r="M33"/>
  <c r="N33"/>
  <c r="G13" i="5"/>
  <c r="D6"/>
  <c r="E5"/>
  <c r="E6"/>
  <c r="E8"/>
  <c r="D18"/>
  <c r="D8"/>
  <c r="C8"/>
  <c r="D19"/>
  <c r="C8" i="1"/>
  <c r="D8"/>
  <c r="E8"/>
  <c r="F8"/>
  <c r="G8"/>
  <c r="H8"/>
  <c r="I8"/>
  <c r="J8"/>
  <c r="K8"/>
  <c r="L8"/>
  <c r="M8"/>
  <c r="N8"/>
  <c r="C9"/>
  <c r="C33" s="1"/>
  <c r="C38" s="1"/>
  <c r="C39" s="1"/>
  <c r="D37" s="1"/>
  <c r="D9"/>
  <c r="D33" s="1"/>
  <c r="E9"/>
  <c r="E33" s="1"/>
  <c r="F9"/>
  <c r="F33" s="1"/>
  <c r="G9"/>
  <c r="G33" s="1"/>
  <c r="H9"/>
  <c r="H33" s="1"/>
  <c r="I9"/>
  <c r="I33" s="1"/>
  <c r="J9"/>
  <c r="J33" s="1"/>
  <c r="K9"/>
  <c r="K33" s="1"/>
  <c r="L9"/>
  <c r="L33" s="1"/>
  <c r="M9"/>
  <c r="M33" s="1"/>
  <c r="N9"/>
  <c r="N33" s="1"/>
  <c r="C17"/>
  <c r="C22" i="2" s="1"/>
  <c r="D17" i="1"/>
  <c r="D22" i="2" s="1"/>
  <c r="E17" i="1"/>
  <c r="E22" i="2" s="1"/>
  <c r="F17" i="1"/>
  <c r="F22" i="2" s="1"/>
  <c r="G17" i="1"/>
  <c r="G22" i="2" s="1"/>
  <c r="H17" i="1"/>
  <c r="H22" i="2" s="1"/>
  <c r="I17" i="1"/>
  <c r="I22" i="2" s="1"/>
  <c r="J17" i="1"/>
  <c r="J22" i="2" s="1"/>
  <c r="K17" i="1"/>
  <c r="K22" i="2" s="1"/>
  <c r="L17" i="1"/>
  <c r="L22" i="2" s="1"/>
  <c r="M17" i="1"/>
  <c r="M22" i="2" s="1"/>
  <c r="N17" i="1"/>
  <c r="N22" i="2" s="1"/>
  <c r="C18" i="1"/>
  <c r="C23" i="2" s="1"/>
  <c r="D18" i="1"/>
  <c r="D23" i="2" s="1"/>
  <c r="E18" i="1"/>
  <c r="E23" i="2" s="1"/>
  <c r="F18" i="1"/>
  <c r="G18"/>
  <c r="G23" i="2"/>
  <c r="H18" i="1"/>
  <c r="H23" i="2"/>
  <c r="I18" i="1"/>
  <c r="I23" i="2"/>
  <c r="J18" i="1"/>
  <c r="J23" i="2"/>
  <c r="K18" i="1"/>
  <c r="K23" i="2"/>
  <c r="L18" i="1"/>
  <c r="L23" i="2"/>
  <c r="M18" i="1"/>
  <c r="M23" i="2"/>
  <c r="N18" i="1"/>
  <c r="N23" i="2"/>
  <c r="C16" i="1"/>
  <c r="C21" i="2"/>
  <c r="D16" i="1"/>
  <c r="D24" i="2"/>
  <c r="E16" i="1"/>
  <c r="E24" i="2"/>
  <c r="F16" i="1"/>
  <c r="F24" i="2"/>
  <c r="G16" i="1"/>
  <c r="G24" i="2"/>
  <c r="H16" i="1"/>
  <c r="H21" i="2"/>
  <c r="I16" i="1"/>
  <c r="I21" i="2"/>
  <c r="J16" i="1"/>
  <c r="J21" i="2"/>
  <c r="K16" i="1"/>
  <c r="K21" i="2"/>
  <c r="L16" i="1"/>
  <c r="L21" i="2"/>
  <c r="M16" i="1"/>
  <c r="M21" i="2"/>
  <c r="N16" i="1"/>
  <c r="N21" i="2"/>
  <c r="C9" i="4"/>
  <c r="C10"/>
  <c r="O16" i="1"/>
  <c r="C10"/>
  <c r="E4" i="2" s="1"/>
  <c r="E16" s="1"/>
  <c r="E5" i="3" s="1"/>
  <c r="D10" i="1"/>
  <c r="E5" i="2" s="1"/>
  <c r="E10" i="1"/>
  <c r="E6" i="2" s="1"/>
  <c r="Q6" s="1"/>
  <c r="F10" i="1"/>
  <c r="G7" i="2" s="1"/>
  <c r="G10" i="1"/>
  <c r="G8" i="2" s="1"/>
  <c r="Q8" s="1"/>
  <c r="H10" i="1"/>
  <c r="J9" i="2" s="1"/>
  <c r="I10" i="1"/>
  <c r="J10" i="2" s="1"/>
  <c r="J10" i="1"/>
  <c r="L11" i="2" s="1"/>
  <c r="K10" i="1"/>
  <c r="L12" i="2" s="1"/>
  <c r="L10" i="1"/>
  <c r="N13" i="2" s="1"/>
  <c r="M10" i="1"/>
  <c r="N14" i="2" s="1"/>
  <c r="N10" i="1"/>
  <c r="P15" i="2" s="1"/>
  <c r="P16" s="1"/>
  <c r="C11" i="1"/>
  <c r="D11" s="1"/>
  <c r="E11" s="1"/>
  <c r="F11"/>
  <c r="G11" s="1"/>
  <c r="H11" s="1"/>
  <c r="I11" s="1"/>
  <c r="J11" s="1"/>
  <c r="K11" s="1"/>
  <c r="L11" s="1"/>
  <c r="M11" s="1"/>
  <c r="N11" s="1"/>
  <c r="C12"/>
  <c r="D12" s="1"/>
  <c r="E12" s="1"/>
  <c r="F12" s="1"/>
  <c r="G12" s="1"/>
  <c r="I12"/>
  <c r="J12" s="1"/>
  <c r="K12" s="1"/>
  <c r="L12" s="1"/>
  <c r="M12" s="1"/>
  <c r="N12" s="1"/>
  <c r="O7"/>
  <c r="O15" i="2"/>
  <c r="N24"/>
  <c r="O24" s="1"/>
  <c r="M24"/>
  <c r="L13"/>
  <c r="K24"/>
  <c r="K12"/>
  <c r="K10"/>
  <c r="I24"/>
  <c r="I10"/>
  <c r="Q10" s="1"/>
  <c r="I8"/>
  <c r="G21"/>
  <c r="F23"/>
  <c r="F21"/>
  <c r="F6"/>
  <c r="E21"/>
  <c r="D21"/>
  <c r="D4"/>
  <c r="C4"/>
  <c r="C16" s="1"/>
  <c r="N19" i="1"/>
  <c r="M19"/>
  <c r="L19"/>
  <c r="K19"/>
  <c r="J19"/>
  <c r="I19"/>
  <c r="H19"/>
  <c r="G19"/>
  <c r="F19"/>
  <c r="E19"/>
  <c r="D19"/>
  <c r="C19"/>
  <c r="O19" s="1"/>
  <c r="C12" i="4" s="1"/>
  <c r="O14" i="2"/>
  <c r="H8"/>
  <c r="G6"/>
  <c r="O8" i="1"/>
  <c r="M12" i="2"/>
  <c r="M14"/>
  <c r="E8" i="4"/>
  <c r="E19"/>
  <c r="L16" i="2" l="1"/>
  <c r="L5" i="3" s="1"/>
  <c r="Q12" i="2"/>
  <c r="G16"/>
  <c r="G5" i="3" s="1"/>
  <c r="K16" i="2"/>
  <c r="K5" i="3" s="1"/>
  <c r="O10" i="1"/>
  <c r="F5" i="2"/>
  <c r="F16" s="1"/>
  <c r="F5" i="3" s="1"/>
  <c r="J11" i="2"/>
  <c r="Q11" s="1"/>
  <c r="M13"/>
  <c r="K11"/>
  <c r="F7"/>
  <c r="O9" i="1"/>
  <c r="Q14" i="2"/>
  <c r="H7"/>
  <c r="N15"/>
  <c r="Q15" s="1"/>
  <c r="I9"/>
  <c r="I16" s="1"/>
  <c r="I5" i="3" s="1"/>
  <c r="D5" i="2"/>
  <c r="Q5" s="1"/>
  <c r="Q4"/>
  <c r="O16"/>
  <c r="C14" i="5" s="1"/>
  <c r="E14" s="1"/>
  <c r="H9" i="2"/>
  <c r="Q9" s="1"/>
  <c r="D36"/>
  <c r="D6" i="3" s="1"/>
  <c r="C36" i="2"/>
  <c r="C37" s="1"/>
  <c r="O18" i="1"/>
  <c r="O17"/>
  <c r="C11" i="4" s="1"/>
  <c r="C19" s="1"/>
  <c r="E20" s="1"/>
  <c r="E21" s="1"/>
  <c r="C29" i="1"/>
  <c r="D29"/>
  <c r="E29"/>
  <c r="F29"/>
  <c r="G29"/>
  <c r="H29"/>
  <c r="I29"/>
  <c r="J29"/>
  <c r="K29"/>
  <c r="L29"/>
  <c r="M29"/>
  <c r="N29"/>
  <c r="H24" i="2"/>
  <c r="J24"/>
  <c r="L24"/>
  <c r="C17"/>
  <c r="C5" i="3"/>
  <c r="H12" i="1"/>
  <c r="O12" s="1"/>
  <c r="O11"/>
  <c r="D38"/>
  <c r="C6" i="3" l="1"/>
  <c r="C7" s="1"/>
  <c r="D4" s="1"/>
  <c r="D7" s="1"/>
  <c r="E4" s="1"/>
  <c r="D37" i="2"/>
  <c r="M16"/>
  <c r="M5" i="3" s="1"/>
  <c r="Q13" i="2"/>
  <c r="H16"/>
  <c r="H5" i="3" s="1"/>
  <c r="N16" i="2"/>
  <c r="N5" i="3" s="1"/>
  <c r="Q7" i="2"/>
  <c r="Q16" s="1"/>
  <c r="D16"/>
  <c r="D5" i="3" s="1"/>
  <c r="J16" i="2"/>
  <c r="J5" i="3" s="1"/>
  <c r="O29" i="1"/>
  <c r="C20" i="4"/>
  <c r="C21" s="1"/>
  <c r="D39" i="1"/>
  <c r="E37" s="1"/>
  <c r="E38" s="1"/>
  <c r="E35" i="2"/>
  <c r="E36" s="1"/>
  <c r="D17" l="1"/>
  <c r="E17" s="1"/>
  <c r="F17" s="1"/>
  <c r="G17" s="1"/>
  <c r="H17" s="1"/>
  <c r="I17" s="1"/>
  <c r="J17" s="1"/>
  <c r="K17" s="1"/>
  <c r="L17" s="1"/>
  <c r="M17" s="1"/>
  <c r="N17" s="1"/>
  <c r="O17" s="1"/>
  <c r="P17" s="1"/>
  <c r="F35"/>
  <c r="F36" s="1"/>
  <c r="F6" i="3" s="1"/>
  <c r="E39" i="1"/>
  <c r="F37" s="1"/>
  <c r="F38" s="1"/>
  <c r="E37" i="2"/>
  <c r="E6" i="3"/>
  <c r="E7" s="1"/>
  <c r="F4" s="1"/>
  <c r="F37" i="2" l="1"/>
  <c r="F7" i="3"/>
  <c r="G4" s="1"/>
  <c r="F39" i="1"/>
  <c r="G37" s="1"/>
  <c r="G38" s="1"/>
  <c r="G35" i="2"/>
  <c r="G36" s="1"/>
  <c r="G6" i="3" s="1"/>
  <c r="G7" l="1"/>
  <c r="H4" s="1"/>
  <c r="H35" i="2"/>
  <c r="H36" s="1"/>
  <c r="H6" i="3" s="1"/>
  <c r="G39" i="1"/>
  <c r="H37" s="1"/>
  <c r="H38" s="1"/>
  <c r="G37" i="2"/>
  <c r="H7" i="3" l="1"/>
  <c r="I4" s="1"/>
  <c r="H37" i="2"/>
  <c r="H39" i="1"/>
  <c r="I37" s="1"/>
  <c r="I38" s="1"/>
  <c r="I35" i="2"/>
  <c r="I36" s="1"/>
  <c r="I6" i="3" s="1"/>
  <c r="I7" l="1"/>
  <c r="J4" s="1"/>
  <c r="I37" i="2"/>
  <c r="J35"/>
  <c r="J36" s="1"/>
  <c r="J6" i="3" s="1"/>
  <c r="I39" i="1"/>
  <c r="J37" s="1"/>
  <c r="J38" s="1"/>
  <c r="J7" i="3" l="1"/>
  <c r="K4" s="1"/>
  <c r="J39" i="1"/>
  <c r="K37" s="1"/>
  <c r="K38" s="1"/>
  <c r="K35" i="2"/>
  <c r="K36" s="1"/>
  <c r="K6" i="3" s="1"/>
  <c r="J37" i="2"/>
  <c r="K7" i="3" l="1"/>
  <c r="L4" s="1"/>
  <c r="K37" i="2"/>
  <c r="K39" i="1"/>
  <c r="L37" s="1"/>
  <c r="L38" s="1"/>
  <c r="L35" i="2"/>
  <c r="L36" s="1"/>
  <c r="L6" i="3" s="1"/>
  <c r="L7" l="1"/>
  <c r="M4" s="1"/>
  <c r="M35" i="2"/>
  <c r="M36" s="1"/>
  <c r="M6" i="3" s="1"/>
  <c r="L39" i="1"/>
  <c r="M37" s="1"/>
  <c r="M38" s="1"/>
  <c r="L37" i="2"/>
  <c r="M7" i="3" l="1"/>
  <c r="N4" s="1"/>
  <c r="M37" i="2"/>
  <c r="N35"/>
  <c r="N36" s="1"/>
  <c r="N6" i="3" s="1"/>
  <c r="M39" i="1"/>
  <c r="N37" s="1"/>
  <c r="N38" s="1"/>
  <c r="N7" i="3" l="1"/>
  <c r="O7" s="1"/>
  <c r="C17" i="5" s="1"/>
  <c r="E17" s="1"/>
  <c r="E18" s="1"/>
  <c r="E19" s="1"/>
  <c r="N37" i="2"/>
  <c r="O35"/>
  <c r="N39" i="1"/>
  <c r="O38"/>
  <c r="C18" i="5" l="1"/>
  <c r="C19" s="1"/>
  <c r="G14"/>
  <c r="G17" s="1"/>
  <c r="G8" s="1"/>
  <c r="G9" s="1"/>
  <c r="O36" i="2"/>
  <c r="O37" s="1"/>
  <c r="G19" i="5"/>
</calcChain>
</file>

<file path=xl/comments1.xml><?xml version="1.0" encoding="utf-8"?>
<comments xmlns="http://schemas.openxmlformats.org/spreadsheetml/2006/main">
  <authors>
    <author>Carlos JANUARIO</author>
  </authors>
  <commentList>
    <comment ref="O8" authorId="0">
      <text>
        <r>
          <rPr>
            <i/>
            <sz val="8"/>
            <color indexed="81"/>
            <rFont val="Tahoma"/>
            <family val="2"/>
          </rPr>
          <t>Produits</t>
        </r>
      </text>
    </comment>
    <comment ref="O10" authorId="0">
      <text>
        <r>
          <rPr>
            <i/>
            <sz val="8"/>
            <color indexed="81"/>
            <rFont val="Tahoma"/>
            <family val="2"/>
          </rPr>
          <t>Produits</t>
        </r>
      </text>
    </comment>
    <comment ref="O16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7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8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1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2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3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4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6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7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8" authorId="0">
      <text>
        <r>
          <rPr>
            <i/>
            <sz val="8"/>
            <color indexed="81"/>
            <rFont val="Tahoma"/>
            <family val="2"/>
          </rPr>
          <t>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8" authorId="0">
      <text>
        <r>
          <rPr>
            <i/>
            <sz val="8"/>
            <color indexed="81"/>
            <rFont val="Tahoma"/>
            <family val="2"/>
          </rPr>
          <t>Dettes fiscales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O24" authorId="0">
      <text>
        <r>
          <rPr>
            <i/>
            <sz val="8"/>
            <color indexed="81"/>
            <rFont val="Tahoma"/>
            <family val="2"/>
          </rPr>
          <t>Dettes sociales</t>
        </r>
      </text>
    </comment>
    <comment ref="O29" authorId="0">
      <text>
        <r>
          <rPr>
            <i/>
            <sz val="8"/>
            <color indexed="81"/>
            <rFont val="Tahoma"/>
            <family val="2"/>
          </rPr>
          <t>Dettes fournisseurs d'ABS</t>
        </r>
      </text>
    </comment>
    <comment ref="O30" authorId="0">
      <text>
        <r>
          <rPr>
            <i/>
            <sz val="8"/>
            <color indexed="81"/>
            <rFont val="Tahoma"/>
            <family val="2"/>
          </rPr>
          <t>Dettes fournisseurs d'ABS</t>
        </r>
      </text>
    </comment>
    <comment ref="O31" authorId="0">
      <text>
        <r>
          <rPr>
            <i/>
            <sz val="8"/>
            <color indexed="81"/>
            <rFont val="Tahoma"/>
            <family val="2"/>
          </rPr>
          <t>Dettes fournisseurs d'ABS</t>
        </r>
      </text>
    </comment>
    <comment ref="O35" authorId="0">
      <text>
        <r>
          <rPr>
            <i/>
            <sz val="8"/>
            <color indexed="81"/>
            <rFont val="Tahoma"/>
            <family val="2"/>
          </rPr>
          <t>Dettes fiscales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O7" authorId="0">
      <text>
        <r>
          <rPr>
            <i/>
            <sz val="8"/>
            <color indexed="81"/>
            <rFont val="Tahoma"/>
            <family val="2"/>
          </rPr>
          <t>Disponibilités</t>
        </r>
      </text>
    </comment>
  </commentList>
</comments>
</file>

<file path=xl/sharedStrings.xml><?xml version="1.0" encoding="utf-8"?>
<sst xmlns="http://schemas.openxmlformats.org/spreadsheetml/2006/main" count="236" uniqueCount="145">
  <si>
    <t>Mois</t>
  </si>
  <si>
    <t>Taux de TVA</t>
  </si>
  <si>
    <t>Ventes HT</t>
  </si>
  <si>
    <t>Ventes TTC</t>
  </si>
  <si>
    <t>TVA à payer</t>
  </si>
  <si>
    <t>Totaux</t>
  </si>
  <si>
    <t>TVA</t>
  </si>
  <si>
    <t>Trésorerie initiale</t>
  </si>
  <si>
    <t>Encaissements</t>
  </si>
  <si>
    <t>Décaissements</t>
  </si>
  <si>
    <t>Trésorerie finale</t>
  </si>
  <si>
    <t>Cumuls</t>
  </si>
  <si>
    <t>Report Crédit de TVA</t>
  </si>
  <si>
    <t>Janvier</t>
  </si>
  <si>
    <t>Février</t>
  </si>
  <si>
    <t>Mars</t>
  </si>
  <si>
    <t>Avril</t>
  </si>
  <si>
    <t>Mai</t>
  </si>
  <si>
    <t>Juin</t>
  </si>
  <si>
    <t>Juillet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</si>
  <si>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</si>
  <si>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</si>
  <si>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</si>
  <si>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</si>
  <si>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</si>
  <si>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</si>
  <si>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</si>
  <si>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</si>
  <si>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Emprunts et dettes financières diverses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</si>
  <si>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</si>
  <si>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</si>
  <si>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</si>
  <si>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</si>
  <si>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</si>
  <si>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</si>
  <si>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</si>
  <si>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</si>
  <si>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Production stockée</t>
  </si>
  <si>
    <t>Charges financières</t>
  </si>
  <si>
    <t>Cumuls HT</t>
  </si>
  <si>
    <t>Cumuls TTC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</si>
  <si>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</si>
  <si>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</si>
  <si>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</si>
  <si>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</si>
  <si>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</si>
  <si>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</si>
  <si>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</si>
  <si>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</si>
  <si>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</si>
  <si>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</si>
  <si>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Variation de stock d'approvisionnements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</si>
  <si>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</si>
  <si>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</si>
  <si>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</si>
  <si>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</si>
  <si>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</si>
  <si>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ABS</t>
  </si>
  <si>
    <t>TVA déductibles sur charges</t>
  </si>
  <si>
    <t>TVA déductible sur immobilisations</t>
  </si>
  <si>
    <t xml:space="preserve">Stocks de Produits finis </t>
  </si>
  <si>
    <t>Stocks de marchandises</t>
  </si>
  <si>
    <t>VMP</t>
  </si>
  <si>
    <t>Immobilisations financières</t>
  </si>
  <si>
    <t>Autres emprunts</t>
  </si>
  <si>
    <t>(1) dont Concours Bancaires Courants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</si>
  <si>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</si>
  <si>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</si>
  <si>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</si>
  <si>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</si>
  <si>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</si>
  <si>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</si>
  <si>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</si>
  <si>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</si>
  <si>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</si>
  <si>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</si>
  <si>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</si>
  <si>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</si>
  <si>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</si>
  <si>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</si>
  <si>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</si>
  <si>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</si>
  <si>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</si>
  <si>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</si>
  <si>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</si>
  <si>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</si>
  <si>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</si>
  <si>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Août</t>
  </si>
  <si>
    <t>Septembre</t>
  </si>
  <si>
    <t>Octobre</t>
  </si>
  <si>
    <t>Novembre</t>
  </si>
  <si>
    <t>Décembre</t>
  </si>
  <si>
    <t>Répartition du CA en %</t>
  </si>
  <si>
    <t>Salaires des agents</t>
  </si>
  <si>
    <t>Salaires des assistants</t>
  </si>
  <si>
    <t>Salaires du gérant</t>
  </si>
  <si>
    <t>Cotisations sociales employeur</t>
  </si>
  <si>
    <t>Assurances</t>
  </si>
  <si>
    <t>Publicité</t>
  </si>
  <si>
    <t>Honoraires</t>
  </si>
  <si>
    <t>Loyer</t>
  </si>
  <si>
    <t>Energie</t>
  </si>
  <si>
    <t>Téléphone</t>
  </si>
  <si>
    <t>Fournitures</t>
  </si>
  <si>
    <t>Déplacements</t>
  </si>
  <si>
    <t>Carburant</t>
  </si>
  <si>
    <t>Autres charges externes</t>
  </si>
  <si>
    <t>Rémunérations Salaires</t>
  </si>
  <si>
    <t>Crédit de TVA à reporter</t>
  </si>
  <si>
    <t>Contrôles</t>
  </si>
  <si>
    <t>Investissements</t>
  </si>
  <si>
    <t>Résultat prévisionnel : bénéfice</t>
  </si>
  <si>
    <t>Amortissements</t>
  </si>
  <si>
    <t>Le résultat prévisionnel du premier exercice est bénéficiaire.</t>
  </si>
  <si>
    <t>Bilan Actif</t>
  </si>
  <si>
    <t>Bilan Passif</t>
  </si>
  <si>
    <t>Par ailleurs, le gérant doit envisager une progression du chiffre d'affaires pour les années suivantes.</t>
  </si>
  <si>
    <t>De nouvelles et inévitables charges, en particulier fiscales et sociales, vont d'apparaître par la suite d'où l'impérieuse nécessité d'anticipation.</t>
  </si>
  <si>
    <t xml:space="preserve">Les charges prévues doivent être revues et conduire surtout à une réduction de l'effectif du personnel. </t>
  </si>
  <si>
    <t>Le prévisionnel doit être complété par 2 ou 3 exercices supplémentaires, après étude de marché et de la concurrence afin de limiter les risques de difficultés financières.</t>
  </si>
  <si>
    <t>Par contre de février à octobre, elle est déficitaire ce qui va conduire le gérant à solliciter des découverts ou crédits bancaires coûteux.</t>
  </si>
  <si>
    <t>La trésorerie prévisionnelle est positive à l'issue de la première année.</t>
  </si>
  <si>
    <t>BUDGET des Ventes - Entreprise CASSIS</t>
  </si>
  <si>
    <t>BUDGET des Charges - Entreprise CASSIS</t>
  </si>
  <si>
    <t>BUDGET de TVA - Entreprise CASSIS</t>
  </si>
  <si>
    <t>Chiffre d'Affaires annuel HT</t>
  </si>
  <si>
    <t>TVA collectée sur ventes</t>
  </si>
  <si>
    <t>Ventes Janvier</t>
  </si>
  <si>
    <t>Ventes Février</t>
  </si>
  <si>
    <t>Ventes Mars</t>
  </si>
  <si>
    <t>Ventes Avril</t>
  </si>
  <si>
    <t>Ventes Mai</t>
  </si>
  <si>
    <t>Ventes Juin</t>
  </si>
  <si>
    <t>Ventes Juillet</t>
  </si>
  <si>
    <t>Ventes Août</t>
  </si>
  <si>
    <t>Ventes Septembre</t>
  </si>
  <si>
    <t>Ventes Octobre</t>
  </si>
  <si>
    <t>Ventes Novembre</t>
  </si>
  <si>
    <t>Ventes Décembre</t>
  </si>
  <si>
    <t>BUDGET des encaissements TTC - Entreprise CASSIS</t>
  </si>
  <si>
    <t>BUDGET des décaissements TTC - Entreprise CASSIS</t>
  </si>
  <si>
    <t>BUDGET de Trésorerie - Entreprise CASSIS</t>
  </si>
  <si>
    <t>TABLEAU DE RESULTAT PREVISIONNEL au 31/12/N - Entreprise CASSIS</t>
  </si>
  <si>
    <t>BILAN PREVISIONNEL AU 31/12/N - Entreprise CASSIS</t>
  </si>
  <si>
    <t>Commentaires - Entreprise CASSIS</t>
  </si>
</sst>
</file>

<file path=xl/styles.xml><?xml version="1.0" encoding="utf-8"?>
<styleSheet xmlns="http://schemas.openxmlformats.org/spreadsheetml/2006/main">
  <numFmts count="4">
    <numFmt numFmtId="164" formatCode="_-* #,##0.00\ _F_-;\-* #,##0.00\ _F_-;_-* &quot;-&quot;??\ _F_-;_-@_-"/>
    <numFmt numFmtId="165" formatCode="_-* #,##0.00\ [$€]_-;\-* #,##0.00\ [$€]_-;_-* &quot;-&quot;??\ [$€]_-;_-@_-"/>
    <numFmt numFmtId="166" formatCode="#,##0.00_ ;\-#,##0.00\ "/>
    <numFmt numFmtId="167" formatCode="_-* #,##0\ _F_-;\-* #,##0\ _F_-;_-* &quot;-&quot;??\ _F_-;_-@_-"/>
  </numFmts>
  <fonts count="10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/>
    <xf numFmtId="4" fontId="2" fillId="2" borderId="6" xfId="2" applyNumberFormat="1" applyFont="1" applyFill="1" applyBorder="1"/>
    <xf numFmtId="4" fontId="2" fillId="2" borderId="6" xfId="2" applyNumberFormat="1" applyFont="1" applyFill="1" applyBorder="1" applyAlignment="1"/>
    <xf numFmtId="4" fontId="3" fillId="2" borderId="6" xfId="2" applyNumberFormat="1" applyFont="1" applyFill="1" applyBorder="1" applyAlignment="1">
      <alignment horizontal="right" vertical="center"/>
    </xf>
    <xf numFmtId="166" fontId="3" fillId="2" borderId="6" xfId="2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2" borderId="7" xfId="0" applyFont="1" applyFill="1" applyBorder="1"/>
    <xf numFmtId="0" fontId="3" fillId="2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0" borderId="15" xfId="3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2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vertical="center"/>
    </xf>
    <xf numFmtId="166" fontId="5" fillId="2" borderId="14" xfId="2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2" fontId="5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0" borderId="19" xfId="3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3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4" fontId="3" fillId="2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/>
    <xf numFmtId="164" fontId="4" fillId="0" borderId="0" xfId="2" applyFont="1" applyFill="1" applyBorder="1"/>
    <xf numFmtId="1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" fontId="3" fillId="0" borderId="0" xfId="0" applyNumberFormat="1" applyFont="1"/>
    <xf numFmtId="166" fontId="2" fillId="0" borderId="19" xfId="2" applyNumberFormat="1" applyFont="1" applyFill="1" applyBorder="1" applyAlignment="1"/>
    <xf numFmtId="0" fontId="2" fillId="3" borderId="7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4" fontId="2" fillId="2" borderId="14" xfId="2" applyNumberFormat="1" applyFont="1" applyFill="1" applyBorder="1" applyAlignment="1"/>
    <xf numFmtId="4" fontId="2" fillId="3" borderId="15" xfId="2" applyNumberFormat="1" applyFont="1" applyFill="1" applyBorder="1" applyAlignment="1"/>
    <xf numFmtId="4" fontId="2" fillId="0" borderId="19" xfId="2" applyNumberFormat="1" applyFont="1" applyFill="1" applyBorder="1" applyAlignment="1">
      <alignment horizontal="center"/>
    </xf>
    <xf numFmtId="4" fontId="2" fillId="0" borderId="14" xfId="2" applyNumberFormat="1" applyFont="1" applyFill="1" applyBorder="1" applyAlignment="1"/>
    <xf numFmtId="4" fontId="2" fillId="2" borderId="19" xfId="2" applyNumberFormat="1" applyFont="1" applyFill="1" applyBorder="1"/>
    <xf numFmtId="4" fontId="2" fillId="2" borderId="14" xfId="2" applyNumberFormat="1" applyFont="1" applyFill="1" applyBorder="1"/>
    <xf numFmtId="4" fontId="2" fillId="2" borderId="15" xfId="2" applyNumberFormat="1" applyFont="1" applyFill="1" applyBorder="1"/>
    <xf numFmtId="4" fontId="3" fillId="2" borderId="6" xfId="2" applyNumberFormat="1" applyFont="1" applyFill="1" applyBorder="1"/>
    <xf numFmtId="4" fontId="3" fillId="0" borderId="19" xfId="2" applyNumberFormat="1" applyFont="1" applyFill="1" applyBorder="1"/>
    <xf numFmtId="4" fontId="3" fillId="2" borderId="4" xfId="2" applyNumberFormat="1" applyFont="1" applyFill="1" applyBorder="1"/>
    <xf numFmtId="4" fontId="3" fillId="0" borderId="6" xfId="2" applyNumberFormat="1" applyFont="1" applyFill="1" applyBorder="1"/>
    <xf numFmtId="0" fontId="3" fillId="2" borderId="20" xfId="0" applyFont="1" applyFill="1" applyBorder="1"/>
    <xf numFmtId="4" fontId="3" fillId="2" borderId="14" xfId="2" applyNumberFormat="1" applyFont="1" applyFill="1" applyBorder="1"/>
    <xf numFmtId="0" fontId="5" fillId="0" borderId="0" xfId="0" applyFont="1" applyFill="1" applyBorder="1" applyAlignment="1">
      <alignment horizontal="center"/>
    </xf>
    <xf numFmtId="4" fontId="3" fillId="2" borderId="23" xfId="2" applyNumberFormat="1" applyFont="1" applyFill="1" applyBorder="1"/>
    <xf numFmtId="0" fontId="3" fillId="2" borderId="13" xfId="0" applyFont="1" applyFill="1" applyBorder="1"/>
    <xf numFmtId="4" fontId="3" fillId="2" borderId="9" xfId="2" applyNumberFormat="1" applyFont="1" applyFill="1" applyBorder="1"/>
    <xf numFmtId="4" fontId="3" fillId="2" borderId="10" xfId="2" applyNumberFormat="1" applyFont="1" applyFill="1" applyBorder="1"/>
    <xf numFmtId="4" fontId="3" fillId="0" borderId="11" xfId="2" applyNumberFormat="1" applyFont="1" applyFill="1" applyBorder="1"/>
    <xf numFmtId="4" fontId="3" fillId="0" borderId="15" xfId="2" applyNumberFormat="1" applyFont="1" applyFill="1" applyBorder="1"/>
    <xf numFmtId="0" fontId="2" fillId="2" borderId="24" xfId="0" applyFont="1" applyFill="1" applyBorder="1"/>
    <xf numFmtId="4" fontId="2" fillId="2" borderId="25" xfId="2" applyNumberFormat="1" applyFont="1" applyFill="1" applyBorder="1"/>
    <xf numFmtId="4" fontId="2" fillId="2" borderId="26" xfId="2" applyNumberFormat="1" applyFont="1" applyFill="1" applyBorder="1"/>
    <xf numFmtId="4" fontId="2" fillId="0" borderId="27" xfId="2" applyNumberFormat="1" applyFont="1" applyFill="1" applyBorder="1"/>
    <xf numFmtId="0" fontId="2" fillId="3" borderId="28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1" applyFont="1"/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34" xfId="1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3" fillId="0" borderId="34" xfId="0" applyNumberFormat="1" applyFont="1" applyBorder="1" applyAlignment="1">
      <alignment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166" fontId="2" fillId="0" borderId="18" xfId="1" applyNumberFormat="1" applyFont="1" applyFill="1" applyBorder="1" applyAlignment="1">
      <alignment vertical="center"/>
    </xf>
    <xf numFmtId="4" fontId="2" fillId="0" borderId="5" xfId="2" applyNumberFormat="1" applyFont="1" applyBorder="1"/>
    <xf numFmtId="4" fontId="2" fillId="0" borderId="5" xfId="0" applyNumberFormat="1" applyFont="1" applyBorder="1"/>
    <xf numFmtId="4" fontId="2" fillId="0" borderId="5" xfId="1" applyNumberFormat="1" applyFont="1" applyBorder="1"/>
    <xf numFmtId="0" fontId="3" fillId="0" borderId="0" xfId="0" applyFont="1" applyBorder="1"/>
    <xf numFmtId="0" fontId="3" fillId="0" borderId="32" xfId="0" applyFont="1" applyBorder="1"/>
    <xf numFmtId="0" fontId="3" fillId="0" borderId="32" xfId="0" applyFont="1" applyFill="1" applyBorder="1"/>
    <xf numFmtId="4" fontId="3" fillId="0" borderId="34" xfId="2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" fontId="2" fillId="0" borderId="18" xfId="1" applyNumberFormat="1" applyFont="1" applyBorder="1"/>
    <xf numFmtId="4" fontId="9" fillId="0" borderId="34" xfId="2" applyNumberFormat="1" applyFont="1" applyFill="1" applyBorder="1"/>
    <xf numFmtId="0" fontId="2" fillId="3" borderId="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4" fontId="3" fillId="0" borderId="34" xfId="2" applyNumberFormat="1" applyFont="1" applyFill="1" applyBorder="1"/>
    <xf numFmtId="4" fontId="3" fillId="0" borderId="34" xfId="1" applyNumberFormat="1" applyFont="1" applyFill="1" applyBorder="1"/>
    <xf numFmtId="165" fontId="3" fillId="2" borderId="0" xfId="1" applyFont="1" applyFill="1"/>
    <xf numFmtId="165" fontId="3" fillId="0" borderId="34" xfId="1" applyFont="1" applyBorder="1"/>
    <xf numFmtId="165" fontId="3" fillId="0" borderId="0" xfId="1" applyFont="1" applyBorder="1"/>
    <xf numFmtId="0" fontId="2" fillId="0" borderId="32" xfId="0" applyFont="1" applyFill="1" applyBorder="1" applyAlignment="1">
      <alignment horizontal="center"/>
    </xf>
    <xf numFmtId="4" fontId="3" fillId="0" borderId="33" xfId="1" applyNumberFormat="1" applyFont="1" applyFill="1" applyBorder="1"/>
    <xf numFmtId="0" fontId="2" fillId="0" borderId="36" xfId="0" applyFont="1" applyFill="1" applyBorder="1" applyAlignment="1">
      <alignment horizontal="center"/>
    </xf>
    <xf numFmtId="2" fontId="3" fillId="0" borderId="33" xfId="2" applyNumberFormat="1" applyFont="1" applyFill="1" applyBorder="1"/>
    <xf numFmtId="4" fontId="3" fillId="0" borderId="18" xfId="2" applyNumberFormat="1" applyFont="1" applyFill="1" applyBorder="1"/>
    <xf numFmtId="166" fontId="3" fillId="0" borderId="34" xfId="1" applyNumberFormat="1" applyFont="1" applyFill="1" applyBorder="1" applyAlignment="1">
      <alignment vertical="center"/>
    </xf>
    <xf numFmtId="4" fontId="3" fillId="0" borderId="9" xfId="2" applyNumberFormat="1" applyFont="1" applyFill="1" applyBorder="1"/>
    <xf numFmtId="0" fontId="3" fillId="0" borderId="8" xfId="0" applyFont="1" applyFill="1" applyBorder="1" applyAlignment="1">
      <alignment horizontal="left"/>
    </xf>
    <xf numFmtId="4" fontId="3" fillId="0" borderId="0" xfId="2" applyNumberFormat="1" applyFont="1" applyFill="1" applyBorder="1"/>
    <xf numFmtId="4" fontId="3" fillId="0" borderId="21" xfId="2" applyNumberFormat="1" applyFont="1" applyFill="1" applyBorder="1"/>
    <xf numFmtId="4" fontId="3" fillId="0" borderId="22" xfId="2" applyNumberFormat="1" applyFont="1" applyFill="1" applyBorder="1"/>
    <xf numFmtId="0" fontId="3" fillId="0" borderId="7" xfId="0" applyFont="1" applyFill="1" applyBorder="1"/>
    <xf numFmtId="4" fontId="3" fillId="0" borderId="6" xfId="2" applyNumberFormat="1" applyFont="1" applyFill="1" applyBorder="1" applyAlignment="1"/>
    <xf numFmtId="164" fontId="3" fillId="0" borderId="6" xfId="2" applyFont="1" applyFill="1" applyBorder="1"/>
    <xf numFmtId="166" fontId="3" fillId="0" borderId="5" xfId="2" applyNumberFormat="1" applyFont="1" applyFill="1" applyBorder="1" applyAlignment="1">
      <alignment horizontal="right" vertical="center"/>
    </xf>
    <xf numFmtId="10" fontId="3" fillId="0" borderId="1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9" fontId="3" fillId="0" borderId="6" xfId="3" applyFont="1" applyFill="1" applyBorder="1" applyAlignment="1">
      <alignment horizontal="center" vertical="center"/>
    </xf>
    <xf numFmtId="9" fontId="2" fillId="0" borderId="19" xfId="3" applyFont="1" applyFill="1" applyBorder="1" applyAlignment="1">
      <alignment horizontal="center" vertical="center"/>
    </xf>
    <xf numFmtId="4" fontId="3" fillId="0" borderId="6" xfId="2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4" fontId="2" fillId="0" borderId="6" xfId="2" applyNumberFormat="1" applyFont="1" applyFill="1" applyBorder="1" applyAlignment="1">
      <alignment horizontal="right" vertical="center"/>
    </xf>
    <xf numFmtId="166" fontId="3" fillId="0" borderId="6" xfId="2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b/>
        <i val="0"/>
        <color rgb="FFFF0000"/>
      </font>
    </dxf>
    <dxf>
      <font>
        <b/>
        <i val="0"/>
        <color theme="4"/>
      </font>
    </dxf>
    <dxf>
      <font>
        <color theme="4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5"/>
  <sheetViews>
    <sheetView showGridLines="0" showZeros="0" tabSelected="1" zoomScaleNormal="100" workbookViewId="0">
      <selection activeCell="C2" sqref="C2"/>
    </sheetView>
  </sheetViews>
  <sheetFormatPr baseColWidth="10" defaultRowHeight="15.75"/>
  <cols>
    <col min="1" max="1" width="3.7109375" style="28" customWidth="1"/>
    <col min="2" max="2" width="31.5703125" style="28" customWidth="1"/>
    <col min="3" max="5" width="12.7109375" style="28" customWidth="1"/>
    <col min="6" max="14" width="11.7109375" style="44" customWidth="1"/>
    <col min="15" max="15" width="13.7109375" style="31" customWidth="1"/>
    <col min="16" max="16384" width="11.42578125" style="28"/>
  </cols>
  <sheetData>
    <row r="1" spans="2:15" s="18" customFormat="1" ht="16.5" thickBot="1">
      <c r="D1" s="21"/>
      <c r="F1" s="19"/>
      <c r="G1" s="20"/>
      <c r="H1" s="19"/>
      <c r="I1" s="19"/>
      <c r="J1" s="19"/>
      <c r="K1" s="19"/>
      <c r="L1" s="19"/>
      <c r="M1" s="19"/>
      <c r="N1" s="19"/>
      <c r="O1" s="22"/>
    </row>
    <row r="2" spans="2:15" s="18" customFormat="1" ht="16.5" thickBot="1">
      <c r="B2" s="53" t="s">
        <v>125</v>
      </c>
      <c r="C2" s="155">
        <v>500000</v>
      </c>
      <c r="D2" s="21"/>
      <c r="F2" s="19"/>
      <c r="G2" s="20"/>
      <c r="H2" s="19"/>
      <c r="I2" s="19"/>
      <c r="J2" s="19"/>
      <c r="K2" s="19"/>
      <c r="L2" s="19"/>
      <c r="M2" s="19"/>
      <c r="N2" s="19"/>
      <c r="O2" s="22"/>
    </row>
    <row r="3" spans="2:15" s="18" customFormat="1" ht="16.5" thickBot="1">
      <c r="B3" s="52" t="s">
        <v>1</v>
      </c>
      <c r="C3" s="156">
        <v>0.2</v>
      </c>
      <c r="D3" s="21"/>
      <c r="F3" s="19"/>
      <c r="G3" s="20"/>
      <c r="H3" s="19"/>
      <c r="I3" s="19"/>
      <c r="J3" s="19"/>
      <c r="K3" s="19"/>
      <c r="L3" s="19"/>
      <c r="M3" s="19"/>
      <c r="N3" s="19"/>
      <c r="O3" s="22"/>
    </row>
    <row r="4" spans="2:15" s="18" customFormat="1" ht="16.5" thickBot="1">
      <c r="D4" s="21"/>
      <c r="F4" s="19"/>
      <c r="G4" s="20"/>
      <c r="H4" s="19"/>
      <c r="I4" s="19"/>
      <c r="J4" s="19"/>
      <c r="K4" s="19"/>
      <c r="L4" s="19"/>
      <c r="M4" s="19"/>
      <c r="N4" s="19"/>
      <c r="O4" s="22"/>
    </row>
    <row r="5" spans="2:15" s="23" customFormat="1" ht="16.5" thickBot="1">
      <c r="B5" s="168" t="s">
        <v>122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</row>
    <row r="6" spans="2:15" s="27" customFormat="1">
      <c r="B6" s="24" t="s">
        <v>0</v>
      </c>
      <c r="C6" s="25" t="s">
        <v>13</v>
      </c>
      <c r="D6" s="25" t="s">
        <v>14</v>
      </c>
      <c r="E6" s="25" t="s">
        <v>15</v>
      </c>
      <c r="F6" s="25" t="s">
        <v>16</v>
      </c>
      <c r="G6" s="25" t="s">
        <v>17</v>
      </c>
      <c r="H6" s="26" t="s">
        <v>18</v>
      </c>
      <c r="I6" s="26" t="s">
        <v>19</v>
      </c>
      <c r="J6" s="26" t="s">
        <v>87</v>
      </c>
      <c r="K6" s="26" t="s">
        <v>88</v>
      </c>
      <c r="L6" s="26" t="s">
        <v>89</v>
      </c>
      <c r="M6" s="26" t="s">
        <v>90</v>
      </c>
      <c r="N6" s="26" t="s">
        <v>91</v>
      </c>
      <c r="O6" s="17" t="s">
        <v>5</v>
      </c>
    </row>
    <row r="7" spans="2:15" s="23" customFormat="1">
      <c r="B7" s="157" t="s">
        <v>92</v>
      </c>
      <c r="C7" s="158">
        <v>0.05</v>
      </c>
      <c r="D7" s="158">
        <v>0.05</v>
      </c>
      <c r="E7" s="158">
        <v>0.05</v>
      </c>
      <c r="F7" s="158">
        <v>0.08</v>
      </c>
      <c r="G7" s="158">
        <v>0.08</v>
      </c>
      <c r="H7" s="158">
        <v>0.08</v>
      </c>
      <c r="I7" s="158">
        <v>0.08</v>
      </c>
      <c r="J7" s="158">
        <v>0.05</v>
      </c>
      <c r="K7" s="158">
        <v>0.1</v>
      </c>
      <c r="L7" s="158">
        <v>0.1</v>
      </c>
      <c r="M7" s="158">
        <v>0.14000000000000001</v>
      </c>
      <c r="N7" s="158">
        <v>0.14000000000000001</v>
      </c>
      <c r="O7" s="159">
        <f t="shared" ref="O7:O12" si="0">SUM(C7:N7)</f>
        <v>1</v>
      </c>
    </row>
    <row r="8" spans="2:15" s="23" customFormat="1">
      <c r="B8" s="157" t="s">
        <v>2</v>
      </c>
      <c r="C8" s="160">
        <f t="shared" ref="C8:N8" si="1">CA_Annuel*C7</f>
        <v>25000</v>
      </c>
      <c r="D8" s="160">
        <f t="shared" si="1"/>
        <v>25000</v>
      </c>
      <c r="E8" s="160">
        <f t="shared" si="1"/>
        <v>25000</v>
      </c>
      <c r="F8" s="160">
        <f t="shared" si="1"/>
        <v>40000</v>
      </c>
      <c r="G8" s="160">
        <f t="shared" si="1"/>
        <v>40000</v>
      </c>
      <c r="H8" s="160">
        <f t="shared" si="1"/>
        <v>40000</v>
      </c>
      <c r="I8" s="160">
        <f t="shared" si="1"/>
        <v>40000</v>
      </c>
      <c r="J8" s="160">
        <f t="shared" si="1"/>
        <v>25000</v>
      </c>
      <c r="K8" s="160">
        <f t="shared" si="1"/>
        <v>50000</v>
      </c>
      <c r="L8" s="160">
        <f t="shared" si="1"/>
        <v>50000</v>
      </c>
      <c r="M8" s="160">
        <f t="shared" si="1"/>
        <v>70000</v>
      </c>
      <c r="N8" s="160">
        <f t="shared" si="1"/>
        <v>70000</v>
      </c>
      <c r="O8" s="54">
        <f t="shared" si="0"/>
        <v>500000</v>
      </c>
    </row>
    <row r="9" spans="2:15" s="23" customFormat="1">
      <c r="B9" s="157" t="s">
        <v>6</v>
      </c>
      <c r="C9" s="160">
        <f t="shared" ref="C9:N9" si="2">C8*tva</f>
        <v>5000</v>
      </c>
      <c r="D9" s="160">
        <f t="shared" si="2"/>
        <v>5000</v>
      </c>
      <c r="E9" s="160">
        <f t="shared" si="2"/>
        <v>5000</v>
      </c>
      <c r="F9" s="160">
        <f t="shared" si="2"/>
        <v>8000</v>
      </c>
      <c r="G9" s="160">
        <f t="shared" si="2"/>
        <v>8000</v>
      </c>
      <c r="H9" s="160">
        <f t="shared" si="2"/>
        <v>8000</v>
      </c>
      <c r="I9" s="160">
        <f t="shared" si="2"/>
        <v>8000</v>
      </c>
      <c r="J9" s="160">
        <f t="shared" si="2"/>
        <v>5000</v>
      </c>
      <c r="K9" s="160">
        <f t="shared" si="2"/>
        <v>10000</v>
      </c>
      <c r="L9" s="160">
        <f t="shared" si="2"/>
        <v>10000</v>
      </c>
      <c r="M9" s="160">
        <f t="shared" si="2"/>
        <v>14000</v>
      </c>
      <c r="N9" s="160">
        <f t="shared" si="2"/>
        <v>14000</v>
      </c>
      <c r="O9" s="54">
        <f t="shared" si="0"/>
        <v>100000</v>
      </c>
    </row>
    <row r="10" spans="2:15" s="23" customFormat="1">
      <c r="B10" s="161" t="s">
        <v>3</v>
      </c>
      <c r="C10" s="162">
        <f t="shared" ref="C10:H10" si="3">C8*(1+tva)</f>
        <v>30000</v>
      </c>
      <c r="D10" s="162">
        <f t="shared" si="3"/>
        <v>30000</v>
      </c>
      <c r="E10" s="162">
        <f t="shared" si="3"/>
        <v>30000</v>
      </c>
      <c r="F10" s="162">
        <f t="shared" si="3"/>
        <v>48000</v>
      </c>
      <c r="G10" s="162">
        <f t="shared" si="3"/>
        <v>48000</v>
      </c>
      <c r="H10" s="162">
        <f t="shared" si="3"/>
        <v>48000</v>
      </c>
      <c r="I10" s="162">
        <f t="shared" ref="I10:N10" si="4">I8*(1+tva)</f>
        <v>48000</v>
      </c>
      <c r="J10" s="162">
        <f t="shared" si="4"/>
        <v>30000</v>
      </c>
      <c r="K10" s="162">
        <f t="shared" si="4"/>
        <v>60000</v>
      </c>
      <c r="L10" s="162">
        <f t="shared" si="4"/>
        <v>60000</v>
      </c>
      <c r="M10" s="162">
        <f t="shared" si="4"/>
        <v>84000</v>
      </c>
      <c r="N10" s="162">
        <f t="shared" si="4"/>
        <v>84000</v>
      </c>
      <c r="O10" s="54">
        <f t="shared" si="0"/>
        <v>600000</v>
      </c>
    </row>
    <row r="11" spans="2:15" s="23" customFormat="1">
      <c r="B11" s="157" t="s">
        <v>40</v>
      </c>
      <c r="C11" s="160">
        <f>C10</f>
        <v>30000</v>
      </c>
      <c r="D11" s="160">
        <f>C11+D10</f>
        <v>60000</v>
      </c>
      <c r="E11" s="160">
        <f>D11+E10</f>
        <v>90000</v>
      </c>
      <c r="F11" s="160">
        <f>F10</f>
        <v>48000</v>
      </c>
      <c r="G11" s="160">
        <f t="shared" ref="G11:N11" si="5">F11+G10</f>
        <v>96000</v>
      </c>
      <c r="H11" s="160">
        <f t="shared" si="5"/>
        <v>144000</v>
      </c>
      <c r="I11" s="160">
        <f t="shared" si="5"/>
        <v>192000</v>
      </c>
      <c r="J11" s="160">
        <f t="shared" si="5"/>
        <v>222000</v>
      </c>
      <c r="K11" s="160">
        <f t="shared" si="5"/>
        <v>282000</v>
      </c>
      <c r="L11" s="160">
        <f t="shared" si="5"/>
        <v>342000</v>
      </c>
      <c r="M11" s="160">
        <f t="shared" si="5"/>
        <v>426000</v>
      </c>
      <c r="N11" s="160">
        <f t="shared" si="5"/>
        <v>510000</v>
      </c>
      <c r="O11" s="54">
        <f t="shared" si="0"/>
        <v>2442000</v>
      </c>
    </row>
    <row r="12" spans="2:15" s="31" customFormat="1" ht="16.5" thickBot="1">
      <c r="B12" s="57" t="s">
        <v>39</v>
      </c>
      <c r="C12" s="58">
        <f>C8</f>
        <v>25000</v>
      </c>
      <c r="D12" s="58">
        <f>D8+C12</f>
        <v>50000</v>
      </c>
      <c r="E12" s="58">
        <f>E8+D12</f>
        <v>75000</v>
      </c>
      <c r="F12" s="58">
        <f>F8+E12</f>
        <v>115000</v>
      </c>
      <c r="G12" s="58">
        <f>G8+F12</f>
        <v>155000</v>
      </c>
      <c r="H12" s="58">
        <f>H8+G12</f>
        <v>195000</v>
      </c>
      <c r="I12" s="58">
        <f>I8</f>
        <v>40000</v>
      </c>
      <c r="J12" s="58">
        <f>J8+I12</f>
        <v>65000</v>
      </c>
      <c r="K12" s="58">
        <f>K8+J12</f>
        <v>115000</v>
      </c>
      <c r="L12" s="58">
        <f>L8+K12</f>
        <v>165000</v>
      </c>
      <c r="M12" s="58">
        <f>M8+L12</f>
        <v>235000</v>
      </c>
      <c r="N12" s="58">
        <f>N8+M12</f>
        <v>305000</v>
      </c>
      <c r="O12" s="30">
        <f t="shared" si="0"/>
        <v>1540000</v>
      </c>
    </row>
    <row r="13" spans="2:15" ht="16.5" thickBot="1">
      <c r="B13" s="32"/>
      <c r="C13" s="33"/>
      <c r="D13" s="33"/>
      <c r="E13" s="33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6.5" thickBot="1">
      <c r="B14" s="168" t="s">
        <v>123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70"/>
    </row>
    <row r="15" spans="2:15" s="35" customFormat="1">
      <c r="B15" s="24" t="s">
        <v>0</v>
      </c>
      <c r="C15" s="25" t="s">
        <v>13</v>
      </c>
      <c r="D15" s="25" t="s">
        <v>14</v>
      </c>
      <c r="E15" s="25" t="s">
        <v>15</v>
      </c>
      <c r="F15" s="25" t="s">
        <v>16</v>
      </c>
      <c r="G15" s="25" t="s">
        <v>17</v>
      </c>
      <c r="H15" s="25" t="s">
        <v>18</v>
      </c>
      <c r="I15" s="25" t="s">
        <v>19</v>
      </c>
      <c r="J15" s="25" t="s">
        <v>87</v>
      </c>
      <c r="K15" s="25" t="s">
        <v>88</v>
      </c>
      <c r="L15" s="25" t="s">
        <v>89</v>
      </c>
      <c r="M15" s="25" t="s">
        <v>90</v>
      </c>
      <c r="N15" s="25" t="s">
        <v>91</v>
      </c>
      <c r="O15" s="17" t="s">
        <v>5</v>
      </c>
    </row>
    <row r="16" spans="2:15" s="23" customFormat="1">
      <c r="B16" s="157" t="s">
        <v>93</v>
      </c>
      <c r="C16" s="163">
        <f>1500*10</f>
        <v>15000</v>
      </c>
      <c r="D16" s="163">
        <f>1500*10</f>
        <v>15000</v>
      </c>
      <c r="E16" s="163">
        <f t="shared" ref="E16:N16" si="6">1500*10</f>
        <v>15000</v>
      </c>
      <c r="F16" s="163">
        <f t="shared" si="6"/>
        <v>15000</v>
      </c>
      <c r="G16" s="160">
        <f t="shared" si="6"/>
        <v>15000</v>
      </c>
      <c r="H16" s="160">
        <f t="shared" si="6"/>
        <v>15000</v>
      </c>
      <c r="I16" s="160">
        <f t="shared" si="6"/>
        <v>15000</v>
      </c>
      <c r="J16" s="160">
        <f t="shared" si="6"/>
        <v>15000</v>
      </c>
      <c r="K16" s="160">
        <f t="shared" si="6"/>
        <v>15000</v>
      </c>
      <c r="L16" s="160">
        <f t="shared" si="6"/>
        <v>15000</v>
      </c>
      <c r="M16" s="160">
        <f t="shared" si="6"/>
        <v>15000</v>
      </c>
      <c r="N16" s="160">
        <f t="shared" si="6"/>
        <v>15000</v>
      </c>
      <c r="O16" s="59">
        <f>SUM(C16:N16)</f>
        <v>180000</v>
      </c>
    </row>
    <row r="17" spans="2:15" s="23" customFormat="1">
      <c r="B17" s="157" t="s">
        <v>94</v>
      </c>
      <c r="C17" s="163">
        <f>1600*3</f>
        <v>4800</v>
      </c>
      <c r="D17" s="163">
        <f>1600*3</f>
        <v>4800</v>
      </c>
      <c r="E17" s="163">
        <f t="shared" ref="E17:N17" si="7">1600*3</f>
        <v>4800</v>
      </c>
      <c r="F17" s="163">
        <f t="shared" si="7"/>
        <v>4800</v>
      </c>
      <c r="G17" s="160">
        <f t="shared" si="7"/>
        <v>4800</v>
      </c>
      <c r="H17" s="160">
        <f t="shared" si="7"/>
        <v>4800</v>
      </c>
      <c r="I17" s="160">
        <f t="shared" si="7"/>
        <v>4800</v>
      </c>
      <c r="J17" s="160">
        <f t="shared" si="7"/>
        <v>4800</v>
      </c>
      <c r="K17" s="160">
        <f t="shared" si="7"/>
        <v>4800</v>
      </c>
      <c r="L17" s="160">
        <f t="shared" si="7"/>
        <v>4800</v>
      </c>
      <c r="M17" s="160">
        <f t="shared" si="7"/>
        <v>4800</v>
      </c>
      <c r="N17" s="160">
        <f t="shared" si="7"/>
        <v>4800</v>
      </c>
      <c r="O17" s="59">
        <f t="shared" ref="O17:O28" si="8">SUM(C17:N17)</f>
        <v>57600</v>
      </c>
    </row>
    <row r="18" spans="2:15" s="23" customFormat="1">
      <c r="B18" s="157" t="s">
        <v>95</v>
      </c>
      <c r="C18" s="163">
        <f>2000</f>
        <v>2000</v>
      </c>
      <c r="D18" s="163">
        <f>2000</f>
        <v>2000</v>
      </c>
      <c r="E18" s="163">
        <f>2000</f>
        <v>2000</v>
      </c>
      <c r="F18" s="163">
        <f>2000</f>
        <v>2000</v>
      </c>
      <c r="G18" s="160">
        <f>2000</f>
        <v>2000</v>
      </c>
      <c r="H18" s="160">
        <f>2000</f>
        <v>2000</v>
      </c>
      <c r="I18" s="160">
        <f>2000</f>
        <v>2000</v>
      </c>
      <c r="J18" s="160">
        <f>2000</f>
        <v>2000</v>
      </c>
      <c r="K18" s="160">
        <f>2000</f>
        <v>2000</v>
      </c>
      <c r="L18" s="160">
        <f>2000</f>
        <v>2000</v>
      </c>
      <c r="M18" s="160">
        <f>2000</f>
        <v>2000</v>
      </c>
      <c r="N18" s="160">
        <f>2000</f>
        <v>2000</v>
      </c>
      <c r="O18" s="59">
        <f t="shared" si="8"/>
        <v>24000</v>
      </c>
    </row>
    <row r="19" spans="2:15" s="23" customFormat="1">
      <c r="B19" s="157" t="s">
        <v>96</v>
      </c>
      <c r="C19" s="163">
        <f>SUM(C16:C18)*0.4</f>
        <v>8720</v>
      </c>
      <c r="D19" s="163">
        <f>SUM(D16:D18)*0.4</f>
        <v>8720</v>
      </c>
      <c r="E19" s="163">
        <f t="shared" ref="E19:N19" si="9">SUM(E16:E18)*0.4</f>
        <v>8720</v>
      </c>
      <c r="F19" s="163">
        <f t="shared" si="9"/>
        <v>8720</v>
      </c>
      <c r="G19" s="160">
        <f t="shared" si="9"/>
        <v>8720</v>
      </c>
      <c r="H19" s="160">
        <f t="shared" si="9"/>
        <v>8720</v>
      </c>
      <c r="I19" s="160">
        <f t="shared" si="9"/>
        <v>8720</v>
      </c>
      <c r="J19" s="160">
        <f t="shared" si="9"/>
        <v>8720</v>
      </c>
      <c r="K19" s="160">
        <f t="shared" si="9"/>
        <v>8720</v>
      </c>
      <c r="L19" s="160">
        <f t="shared" si="9"/>
        <v>8720</v>
      </c>
      <c r="M19" s="160">
        <f t="shared" si="9"/>
        <v>8720</v>
      </c>
      <c r="N19" s="160">
        <f t="shared" si="9"/>
        <v>8720</v>
      </c>
      <c r="O19" s="59">
        <f t="shared" si="8"/>
        <v>104640</v>
      </c>
    </row>
    <row r="20" spans="2:15" s="23" customFormat="1">
      <c r="B20" s="157" t="s">
        <v>97</v>
      </c>
      <c r="C20" s="164">
        <v>4000</v>
      </c>
      <c r="D20" s="164"/>
      <c r="E20" s="164"/>
      <c r="F20" s="164"/>
      <c r="G20" s="165"/>
      <c r="H20" s="165"/>
      <c r="I20" s="165"/>
      <c r="J20" s="165"/>
      <c r="K20" s="165"/>
      <c r="L20" s="165"/>
      <c r="M20" s="165"/>
      <c r="N20" s="165"/>
      <c r="O20" s="59">
        <f t="shared" si="8"/>
        <v>4000</v>
      </c>
    </row>
    <row r="21" spans="2:15" s="23" customFormat="1">
      <c r="B21" s="157" t="s">
        <v>98</v>
      </c>
      <c r="C21" s="164"/>
      <c r="D21" s="164">
        <v>3000</v>
      </c>
      <c r="E21" s="164"/>
      <c r="F21" s="164"/>
      <c r="G21" s="165"/>
      <c r="H21" s="165"/>
      <c r="I21" s="165"/>
      <c r="J21" s="165"/>
      <c r="K21" s="165"/>
      <c r="L21" s="165"/>
      <c r="M21" s="165"/>
      <c r="N21" s="165"/>
      <c r="O21" s="59">
        <f t="shared" si="8"/>
        <v>3000</v>
      </c>
    </row>
    <row r="22" spans="2:15" s="23" customFormat="1">
      <c r="B22" s="157" t="s">
        <v>99</v>
      </c>
      <c r="C22" s="164"/>
      <c r="D22" s="164"/>
      <c r="E22" s="164"/>
      <c r="F22" s="164"/>
      <c r="G22" s="165">
        <v>2000</v>
      </c>
      <c r="H22" s="165"/>
      <c r="I22" s="165"/>
      <c r="J22" s="165"/>
      <c r="K22" s="165"/>
      <c r="L22" s="165"/>
      <c r="M22" s="165"/>
      <c r="N22" s="165"/>
      <c r="O22" s="59">
        <f t="shared" si="8"/>
        <v>2000</v>
      </c>
    </row>
    <row r="23" spans="2:15" s="23" customFormat="1">
      <c r="B23" s="157" t="s">
        <v>100</v>
      </c>
      <c r="C23" s="164">
        <v>1500</v>
      </c>
      <c r="D23" s="164">
        <v>1500</v>
      </c>
      <c r="E23" s="164">
        <v>1500</v>
      </c>
      <c r="F23" s="164">
        <v>1500</v>
      </c>
      <c r="G23" s="165">
        <v>1500</v>
      </c>
      <c r="H23" s="165">
        <v>1500</v>
      </c>
      <c r="I23" s="165">
        <v>1500</v>
      </c>
      <c r="J23" s="165">
        <v>1500</v>
      </c>
      <c r="K23" s="165">
        <v>1500</v>
      </c>
      <c r="L23" s="165">
        <v>1500</v>
      </c>
      <c r="M23" s="165">
        <v>1500</v>
      </c>
      <c r="N23" s="165">
        <v>1500</v>
      </c>
      <c r="O23" s="59">
        <f t="shared" si="8"/>
        <v>18000</v>
      </c>
    </row>
    <row r="24" spans="2:15" s="23" customFormat="1">
      <c r="B24" s="157" t="s">
        <v>101</v>
      </c>
      <c r="C24" s="164">
        <v>200</v>
      </c>
      <c r="D24" s="164">
        <v>200</v>
      </c>
      <c r="E24" s="164">
        <v>200</v>
      </c>
      <c r="F24" s="164">
        <v>200</v>
      </c>
      <c r="G24" s="165">
        <v>200</v>
      </c>
      <c r="H24" s="165">
        <v>200</v>
      </c>
      <c r="I24" s="165">
        <v>200</v>
      </c>
      <c r="J24" s="165">
        <v>200</v>
      </c>
      <c r="K24" s="165">
        <v>200</v>
      </c>
      <c r="L24" s="165">
        <v>200</v>
      </c>
      <c r="M24" s="165">
        <v>200</v>
      </c>
      <c r="N24" s="165">
        <v>200</v>
      </c>
      <c r="O24" s="59">
        <f t="shared" si="8"/>
        <v>2400</v>
      </c>
    </row>
    <row r="25" spans="2:15" s="23" customFormat="1">
      <c r="B25" s="157" t="s">
        <v>102</v>
      </c>
      <c r="C25" s="164">
        <v>300</v>
      </c>
      <c r="D25" s="164">
        <v>300</v>
      </c>
      <c r="E25" s="164">
        <v>300</v>
      </c>
      <c r="F25" s="164">
        <v>300</v>
      </c>
      <c r="G25" s="165">
        <v>300</v>
      </c>
      <c r="H25" s="165">
        <v>300</v>
      </c>
      <c r="I25" s="165">
        <v>300</v>
      </c>
      <c r="J25" s="165">
        <v>300</v>
      </c>
      <c r="K25" s="165">
        <v>300</v>
      </c>
      <c r="L25" s="165">
        <v>300</v>
      </c>
      <c r="M25" s="165">
        <v>300</v>
      </c>
      <c r="N25" s="165">
        <v>300</v>
      </c>
      <c r="O25" s="59">
        <f t="shared" si="8"/>
        <v>3600</v>
      </c>
    </row>
    <row r="26" spans="2:15" s="23" customFormat="1">
      <c r="B26" s="157" t="s">
        <v>103</v>
      </c>
      <c r="C26" s="164">
        <v>100</v>
      </c>
      <c r="D26" s="164">
        <v>100</v>
      </c>
      <c r="E26" s="164">
        <v>100</v>
      </c>
      <c r="F26" s="164">
        <v>100</v>
      </c>
      <c r="G26" s="165">
        <v>100</v>
      </c>
      <c r="H26" s="165">
        <v>100</v>
      </c>
      <c r="I26" s="165">
        <v>100</v>
      </c>
      <c r="J26" s="165">
        <v>100</v>
      </c>
      <c r="K26" s="165">
        <v>100</v>
      </c>
      <c r="L26" s="165">
        <v>100</v>
      </c>
      <c r="M26" s="165">
        <v>100</v>
      </c>
      <c r="N26" s="165">
        <v>100</v>
      </c>
      <c r="O26" s="59">
        <f t="shared" si="8"/>
        <v>1200</v>
      </c>
    </row>
    <row r="27" spans="2:15" s="23" customFormat="1">
      <c r="B27" s="157" t="s">
        <v>105</v>
      </c>
      <c r="C27" s="164">
        <v>800</v>
      </c>
      <c r="D27" s="164">
        <v>800</v>
      </c>
      <c r="E27" s="164">
        <v>800</v>
      </c>
      <c r="F27" s="164">
        <v>800</v>
      </c>
      <c r="G27" s="165">
        <v>800</v>
      </c>
      <c r="H27" s="165">
        <v>800</v>
      </c>
      <c r="I27" s="165">
        <v>800</v>
      </c>
      <c r="J27" s="165">
        <v>800</v>
      </c>
      <c r="K27" s="165">
        <v>800</v>
      </c>
      <c r="L27" s="165">
        <v>800</v>
      </c>
      <c r="M27" s="165">
        <v>800</v>
      </c>
      <c r="N27" s="165">
        <v>800</v>
      </c>
      <c r="O27" s="59">
        <f t="shared" si="8"/>
        <v>9600</v>
      </c>
    </row>
    <row r="28" spans="2:15" s="23" customFormat="1">
      <c r="B28" s="157" t="s">
        <v>104</v>
      </c>
      <c r="C28" s="164">
        <v>900</v>
      </c>
      <c r="D28" s="164">
        <v>900</v>
      </c>
      <c r="E28" s="164">
        <v>900</v>
      </c>
      <c r="F28" s="164">
        <v>900</v>
      </c>
      <c r="G28" s="165">
        <v>900</v>
      </c>
      <c r="H28" s="165">
        <v>900</v>
      </c>
      <c r="I28" s="165">
        <v>900</v>
      </c>
      <c r="J28" s="165">
        <v>900</v>
      </c>
      <c r="K28" s="165">
        <v>900</v>
      </c>
      <c r="L28" s="165">
        <v>900</v>
      </c>
      <c r="M28" s="165">
        <v>900</v>
      </c>
      <c r="N28" s="165">
        <v>900</v>
      </c>
      <c r="O28" s="59">
        <f t="shared" si="8"/>
        <v>10800</v>
      </c>
    </row>
    <row r="29" spans="2:15" s="31" customFormat="1" ht="16.5" thickBot="1">
      <c r="B29" s="56" t="s">
        <v>5</v>
      </c>
      <c r="C29" s="36">
        <f t="shared" ref="C29:N29" si="10">SUM(C16:C28)</f>
        <v>38320</v>
      </c>
      <c r="D29" s="36">
        <f t="shared" si="10"/>
        <v>37320</v>
      </c>
      <c r="E29" s="36">
        <f t="shared" si="10"/>
        <v>34320</v>
      </c>
      <c r="F29" s="36">
        <f t="shared" si="10"/>
        <v>34320</v>
      </c>
      <c r="G29" s="29">
        <f t="shared" si="10"/>
        <v>36320</v>
      </c>
      <c r="H29" s="29">
        <f t="shared" si="10"/>
        <v>34320</v>
      </c>
      <c r="I29" s="29">
        <f t="shared" si="10"/>
        <v>34320</v>
      </c>
      <c r="J29" s="29">
        <f t="shared" si="10"/>
        <v>34320</v>
      </c>
      <c r="K29" s="29">
        <f t="shared" si="10"/>
        <v>34320</v>
      </c>
      <c r="L29" s="29">
        <f t="shared" si="10"/>
        <v>34320</v>
      </c>
      <c r="M29" s="29">
        <f t="shared" si="10"/>
        <v>34320</v>
      </c>
      <c r="N29" s="29">
        <f t="shared" si="10"/>
        <v>34320</v>
      </c>
      <c r="O29" s="37">
        <f>SUM(C29:N29)</f>
        <v>420840</v>
      </c>
    </row>
    <row r="30" spans="2:15" ht="16.5" thickBot="1">
      <c r="B30" s="38"/>
      <c r="C30" s="33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</row>
    <row r="31" spans="2:15" ht="16.5" thickBot="1">
      <c r="B31" s="168" t="s">
        <v>124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70"/>
    </row>
    <row r="32" spans="2:15">
      <c r="B32" s="39" t="s">
        <v>0</v>
      </c>
      <c r="C32" s="25" t="s">
        <v>13</v>
      </c>
      <c r="D32" s="25" t="s">
        <v>14</v>
      </c>
      <c r="E32" s="25" t="s">
        <v>15</v>
      </c>
      <c r="F32" s="25" t="s">
        <v>16</v>
      </c>
      <c r="G32" s="25" t="s">
        <v>17</v>
      </c>
      <c r="H32" s="26" t="s">
        <v>18</v>
      </c>
      <c r="I32" s="26" t="s">
        <v>19</v>
      </c>
      <c r="J32" s="26" t="s">
        <v>87</v>
      </c>
      <c r="K32" s="26" t="s">
        <v>88</v>
      </c>
      <c r="L32" s="26" t="s">
        <v>89</v>
      </c>
      <c r="M32" s="26" t="s">
        <v>90</v>
      </c>
      <c r="N32" s="25" t="s">
        <v>91</v>
      </c>
      <c r="O32" s="17" t="s">
        <v>42</v>
      </c>
    </row>
    <row r="33" spans="2:15" s="23" customFormat="1">
      <c r="B33" s="166" t="s">
        <v>126</v>
      </c>
      <c r="C33" s="163">
        <f>C9</f>
        <v>5000</v>
      </c>
      <c r="D33" s="163">
        <f t="shared" ref="D33:N33" si="11">D9</f>
        <v>5000</v>
      </c>
      <c r="E33" s="163">
        <f t="shared" si="11"/>
        <v>5000</v>
      </c>
      <c r="F33" s="163">
        <f t="shared" si="11"/>
        <v>8000</v>
      </c>
      <c r="G33" s="160">
        <f t="shared" si="11"/>
        <v>8000</v>
      </c>
      <c r="H33" s="160">
        <f t="shared" si="11"/>
        <v>8000</v>
      </c>
      <c r="I33" s="160">
        <f t="shared" si="11"/>
        <v>8000</v>
      </c>
      <c r="J33" s="160">
        <f t="shared" si="11"/>
        <v>5000</v>
      </c>
      <c r="K33" s="160">
        <f t="shared" si="11"/>
        <v>10000</v>
      </c>
      <c r="L33" s="160">
        <f t="shared" si="11"/>
        <v>10000</v>
      </c>
      <c r="M33" s="160">
        <f t="shared" si="11"/>
        <v>14000</v>
      </c>
      <c r="N33" s="160">
        <f t="shared" si="11"/>
        <v>14000</v>
      </c>
      <c r="O33" s="59"/>
    </row>
    <row r="34" spans="2:15" s="23" customFormat="1">
      <c r="B34" s="167" t="s">
        <v>57</v>
      </c>
      <c r="C34" s="163"/>
      <c r="D34" s="163"/>
      <c r="E34" s="163"/>
      <c r="F34" s="163"/>
      <c r="G34" s="160"/>
      <c r="H34" s="160"/>
      <c r="I34" s="160"/>
      <c r="J34" s="160"/>
      <c r="K34" s="160"/>
      <c r="L34" s="160"/>
      <c r="M34" s="160"/>
      <c r="N34" s="160"/>
      <c r="O34" s="59"/>
    </row>
    <row r="35" spans="2:15" s="23" customFormat="1">
      <c r="B35" s="167" t="s">
        <v>58</v>
      </c>
      <c r="C35" s="163">
        <f t="shared" ref="C35:N35" si="12">SUM(C21:C27)*tva</f>
        <v>580</v>
      </c>
      <c r="D35" s="163">
        <f t="shared" si="12"/>
        <v>1180</v>
      </c>
      <c r="E35" s="163">
        <f t="shared" si="12"/>
        <v>580</v>
      </c>
      <c r="F35" s="163">
        <f t="shared" si="12"/>
        <v>580</v>
      </c>
      <c r="G35" s="163">
        <f t="shared" si="12"/>
        <v>980</v>
      </c>
      <c r="H35" s="163">
        <f t="shared" si="12"/>
        <v>580</v>
      </c>
      <c r="I35" s="163">
        <f t="shared" si="12"/>
        <v>580</v>
      </c>
      <c r="J35" s="163">
        <f t="shared" si="12"/>
        <v>580</v>
      </c>
      <c r="K35" s="163">
        <f t="shared" si="12"/>
        <v>580</v>
      </c>
      <c r="L35" s="163">
        <f t="shared" si="12"/>
        <v>580</v>
      </c>
      <c r="M35" s="163">
        <f t="shared" si="12"/>
        <v>580</v>
      </c>
      <c r="N35" s="163">
        <f t="shared" si="12"/>
        <v>580</v>
      </c>
      <c r="O35" s="59"/>
    </row>
    <row r="36" spans="2:15" s="23" customFormat="1">
      <c r="B36" s="167" t="s">
        <v>59</v>
      </c>
      <c r="C36" s="163">
        <f>(24000+2100+1800)*tva</f>
        <v>5580</v>
      </c>
      <c r="D36" s="163"/>
      <c r="E36" s="163"/>
      <c r="F36" s="163"/>
      <c r="G36" s="160"/>
      <c r="H36" s="160"/>
      <c r="I36" s="160"/>
      <c r="J36" s="160"/>
      <c r="K36" s="160"/>
      <c r="L36" s="160"/>
      <c r="M36" s="160"/>
      <c r="N36" s="160"/>
      <c r="O36" s="59"/>
    </row>
    <row r="37" spans="2:15" s="23" customFormat="1">
      <c r="B37" s="167" t="s">
        <v>12</v>
      </c>
      <c r="C37" s="163"/>
      <c r="D37" s="163">
        <f>IF(C39="",0,C39)</f>
        <v>1160</v>
      </c>
      <c r="E37" s="163">
        <f t="shared" ref="E37:N37" si="13">IF(D39="",0,D39)</f>
        <v>0</v>
      </c>
      <c r="F37" s="163">
        <f t="shared" si="13"/>
        <v>0</v>
      </c>
      <c r="G37" s="163">
        <f t="shared" si="13"/>
        <v>0</v>
      </c>
      <c r="H37" s="163">
        <f t="shared" si="13"/>
        <v>0</v>
      </c>
      <c r="I37" s="163">
        <f t="shared" si="13"/>
        <v>0</v>
      </c>
      <c r="J37" s="163">
        <f t="shared" si="13"/>
        <v>0</v>
      </c>
      <c r="K37" s="163">
        <f t="shared" si="13"/>
        <v>0</v>
      </c>
      <c r="L37" s="163">
        <f t="shared" si="13"/>
        <v>0</v>
      </c>
      <c r="M37" s="163">
        <f t="shared" si="13"/>
        <v>0</v>
      </c>
      <c r="N37" s="163">
        <f t="shared" si="13"/>
        <v>0</v>
      </c>
      <c r="O37" s="59"/>
    </row>
    <row r="38" spans="2:15">
      <c r="B38" s="12" t="s">
        <v>4</v>
      </c>
      <c r="C38" s="9">
        <f>C33-C35-C36-C37</f>
        <v>-1160</v>
      </c>
      <c r="D38" s="9">
        <f t="shared" ref="D38:N38" si="14">D33-D35-D36-D37</f>
        <v>2660</v>
      </c>
      <c r="E38" s="9">
        <f t="shared" si="14"/>
        <v>4420</v>
      </c>
      <c r="F38" s="9">
        <f t="shared" si="14"/>
        <v>7420</v>
      </c>
      <c r="G38" s="8">
        <f t="shared" si="14"/>
        <v>7020</v>
      </c>
      <c r="H38" s="8">
        <f t="shared" si="14"/>
        <v>7420</v>
      </c>
      <c r="I38" s="8">
        <f t="shared" si="14"/>
        <v>7420</v>
      </c>
      <c r="J38" s="8">
        <f t="shared" si="14"/>
        <v>4420</v>
      </c>
      <c r="K38" s="8">
        <f t="shared" si="14"/>
        <v>9420</v>
      </c>
      <c r="L38" s="8">
        <f t="shared" si="14"/>
        <v>9420</v>
      </c>
      <c r="M38" s="8">
        <f t="shared" si="14"/>
        <v>13420</v>
      </c>
      <c r="N38" s="8">
        <f t="shared" si="14"/>
        <v>13420</v>
      </c>
      <c r="O38" s="59">
        <f>N38</f>
        <v>13420</v>
      </c>
    </row>
    <row r="39" spans="2:15" ht="16.5" thickBot="1">
      <c r="B39" s="40" t="s">
        <v>108</v>
      </c>
      <c r="C39" s="41">
        <f>IF(C38&lt;0,C38*(-1),"")</f>
        <v>1160</v>
      </c>
      <c r="D39" s="41" t="str">
        <f t="shared" ref="D39:N39" si="15">IF(D38&lt;0,D38*(-1),"")</f>
        <v/>
      </c>
      <c r="E39" s="41" t="str">
        <f t="shared" si="15"/>
        <v/>
      </c>
      <c r="F39" s="41" t="str">
        <f t="shared" si="15"/>
        <v/>
      </c>
      <c r="G39" s="41" t="str">
        <f t="shared" si="15"/>
        <v/>
      </c>
      <c r="H39" s="41" t="str">
        <f t="shared" si="15"/>
        <v/>
      </c>
      <c r="I39" s="41" t="str">
        <f t="shared" si="15"/>
        <v/>
      </c>
      <c r="J39" s="41" t="str">
        <f t="shared" si="15"/>
        <v/>
      </c>
      <c r="K39" s="41" t="str">
        <f t="shared" si="15"/>
        <v/>
      </c>
      <c r="L39" s="41" t="str">
        <f t="shared" si="15"/>
        <v/>
      </c>
      <c r="M39" s="41" t="str">
        <f t="shared" si="15"/>
        <v/>
      </c>
      <c r="N39" s="41" t="str">
        <f t="shared" si="15"/>
        <v/>
      </c>
      <c r="O39" s="55"/>
    </row>
    <row r="40" spans="2:15">
      <c r="B40" s="42"/>
      <c r="C40" s="42"/>
      <c r="D40" s="42"/>
      <c r="E40" s="42"/>
      <c r="F40" s="43"/>
      <c r="G40" s="43"/>
      <c r="H40" s="43"/>
      <c r="I40" s="43"/>
    </row>
    <row r="41" spans="2:15">
      <c r="B41" s="42"/>
      <c r="C41" s="42"/>
      <c r="D41" s="42"/>
      <c r="E41" s="42"/>
      <c r="F41" s="43"/>
      <c r="G41" s="43"/>
      <c r="H41" s="43"/>
      <c r="I41" s="43"/>
    </row>
    <row r="42" spans="2:15" ht="19.5" customHeight="1">
      <c r="B42" s="42"/>
      <c r="C42" s="42"/>
      <c r="D42" s="42"/>
      <c r="E42" s="42"/>
      <c r="F42" s="43"/>
      <c r="G42" s="43"/>
      <c r="H42" s="43"/>
      <c r="I42" s="43"/>
    </row>
    <row r="43" spans="2:15" ht="19.5" customHeight="1">
      <c r="B43" s="42"/>
      <c r="C43" s="42"/>
      <c r="D43" s="42"/>
      <c r="E43" s="42"/>
      <c r="F43" s="43"/>
      <c r="G43" s="43"/>
      <c r="H43" s="43"/>
      <c r="I43" s="43"/>
    </row>
    <row r="44" spans="2:15" ht="19.5" customHeight="1">
      <c r="B44" s="42"/>
      <c r="C44" s="42"/>
      <c r="D44" s="42"/>
      <c r="E44" s="42"/>
      <c r="F44" s="43"/>
      <c r="G44" s="43"/>
      <c r="H44" s="43"/>
      <c r="I44" s="43"/>
    </row>
    <row r="45" spans="2:15" ht="19.5" customHeight="1">
      <c r="B45" s="42"/>
      <c r="C45" s="42"/>
      <c r="D45" s="42"/>
      <c r="E45" s="42"/>
      <c r="F45" s="43"/>
      <c r="G45" s="43"/>
      <c r="H45" s="43"/>
      <c r="I45" s="43"/>
    </row>
    <row r="46" spans="2:15" ht="19.5" customHeight="1"/>
    <row r="47" spans="2:15" ht="19.5" customHeight="1"/>
    <row r="48" spans="2:15" ht="19.5" customHeight="1"/>
    <row r="49" ht="19.5" customHeight="1"/>
    <row r="50" ht="19.5" customHeight="1"/>
    <row r="51" ht="19.5" customHeight="1"/>
    <row r="52" ht="19.5" customHeight="1"/>
    <row r="53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9" ht="21" customHeight="1"/>
    <row r="80" ht="21" customHeight="1"/>
    <row r="81" spans="2:8" ht="21" customHeight="1"/>
    <row r="82" spans="2:8" ht="21" customHeight="1"/>
    <row r="83" spans="2:8" ht="21" customHeight="1"/>
    <row r="84" spans="2:8" ht="21" customHeight="1"/>
    <row r="90" spans="2:8">
      <c r="B90" s="45"/>
      <c r="C90" s="45"/>
      <c r="D90" s="45"/>
      <c r="E90" s="45"/>
      <c r="F90" s="46"/>
      <c r="G90" s="46"/>
      <c r="H90" s="46"/>
    </row>
    <row r="91" spans="2:8">
      <c r="B91" s="45"/>
      <c r="C91" s="45"/>
      <c r="D91" s="45"/>
      <c r="E91" s="45"/>
      <c r="F91" s="46"/>
      <c r="G91" s="46"/>
      <c r="H91" s="46"/>
    </row>
    <row r="92" spans="2:8">
      <c r="B92" s="45"/>
      <c r="C92" s="45"/>
      <c r="D92" s="45"/>
      <c r="E92" s="45"/>
      <c r="F92" s="46"/>
      <c r="G92" s="46"/>
      <c r="H92" s="46"/>
    </row>
    <row r="93" spans="2:8">
      <c r="B93" s="45"/>
      <c r="C93" s="45"/>
      <c r="D93" s="45"/>
      <c r="E93" s="45"/>
      <c r="F93" s="46"/>
      <c r="G93" s="46"/>
      <c r="H93" s="46"/>
    </row>
    <row r="94" spans="2:8">
      <c r="B94" s="47"/>
      <c r="C94" s="47"/>
      <c r="D94" s="171"/>
      <c r="E94" s="171"/>
      <c r="F94" s="46"/>
      <c r="G94" s="46"/>
      <c r="H94" s="46"/>
    </row>
    <row r="95" spans="2:8">
      <c r="B95" s="45"/>
      <c r="C95" s="48"/>
      <c r="D95" s="45"/>
      <c r="E95" s="45"/>
      <c r="F95" s="46"/>
      <c r="G95" s="46"/>
      <c r="H95" s="46"/>
    </row>
    <row r="96" spans="2:8">
      <c r="B96" s="45"/>
      <c r="C96" s="48"/>
      <c r="D96" s="45"/>
      <c r="E96" s="48"/>
      <c r="F96" s="49"/>
      <c r="G96" s="46"/>
      <c r="H96" s="46"/>
    </row>
    <row r="97" spans="2:8">
      <c r="B97" s="45"/>
      <c r="C97" s="48"/>
      <c r="D97" s="45"/>
      <c r="E97" s="45"/>
      <c r="F97" s="49"/>
      <c r="G97" s="46"/>
      <c r="H97" s="46"/>
    </row>
    <row r="98" spans="2:8">
      <c r="B98" s="45"/>
      <c r="C98" s="48"/>
      <c r="D98" s="45"/>
      <c r="E98" s="45"/>
      <c r="F98" s="49"/>
      <c r="G98" s="46"/>
      <c r="H98" s="46"/>
    </row>
    <row r="99" spans="2:8">
      <c r="B99" s="45"/>
      <c r="C99" s="48"/>
      <c r="D99" s="45"/>
      <c r="E99" s="45"/>
      <c r="F99" s="49"/>
      <c r="G99" s="46"/>
      <c r="H99" s="46"/>
    </row>
    <row r="100" spans="2:8">
      <c r="B100" s="45"/>
      <c r="C100" s="48"/>
      <c r="D100" s="45"/>
      <c r="E100" s="45"/>
      <c r="F100" s="49"/>
      <c r="G100" s="46"/>
      <c r="H100" s="46"/>
    </row>
    <row r="101" spans="2:8">
      <c r="B101" s="45"/>
      <c r="C101" s="48"/>
      <c r="D101" s="45"/>
      <c r="E101" s="45"/>
      <c r="F101" s="49"/>
      <c r="G101" s="46"/>
      <c r="H101" s="46"/>
    </row>
    <row r="102" spans="2:8">
      <c r="B102" s="45"/>
      <c r="C102" s="48"/>
      <c r="D102" s="45"/>
      <c r="E102" s="45"/>
      <c r="F102" s="49"/>
      <c r="G102" s="46"/>
      <c r="H102" s="46"/>
    </row>
    <row r="103" spans="2:8">
      <c r="B103" s="45"/>
      <c r="C103" s="48"/>
      <c r="D103" s="45"/>
      <c r="E103" s="45"/>
      <c r="F103" s="49"/>
      <c r="G103" s="46"/>
      <c r="H103" s="46"/>
    </row>
    <row r="104" spans="2:8">
      <c r="B104" s="45"/>
      <c r="C104" s="48"/>
      <c r="D104" s="45"/>
      <c r="E104" s="45"/>
      <c r="F104" s="49"/>
      <c r="G104" s="46"/>
      <c r="H104" s="46"/>
    </row>
    <row r="105" spans="2:8">
      <c r="B105" s="45"/>
      <c r="C105" s="48"/>
      <c r="D105" s="45"/>
      <c r="E105" s="45"/>
      <c r="F105" s="49"/>
      <c r="G105" s="46"/>
      <c r="H105" s="46"/>
    </row>
    <row r="106" spans="2:8">
      <c r="B106" s="45"/>
      <c r="C106" s="48"/>
      <c r="D106" s="45"/>
      <c r="E106" s="45"/>
      <c r="F106" s="49"/>
      <c r="G106" s="46"/>
      <c r="H106" s="46"/>
    </row>
    <row r="107" spans="2:8">
      <c r="B107" s="45"/>
      <c r="C107" s="48"/>
      <c r="D107" s="45"/>
      <c r="E107" s="45"/>
      <c r="F107" s="49"/>
      <c r="G107" s="46"/>
      <c r="H107" s="46"/>
    </row>
    <row r="108" spans="2:8">
      <c r="B108" s="45"/>
      <c r="C108" s="48"/>
      <c r="D108" s="45"/>
      <c r="E108" s="45"/>
      <c r="F108" s="49"/>
      <c r="G108" s="46"/>
      <c r="H108" s="46"/>
    </row>
    <row r="109" spans="2:8">
      <c r="B109" s="45"/>
      <c r="C109" s="48"/>
      <c r="D109" s="45"/>
      <c r="E109" s="45"/>
      <c r="F109" s="49"/>
      <c r="G109" s="46"/>
      <c r="H109" s="46"/>
    </row>
    <row r="110" spans="2:8">
      <c r="B110" s="45"/>
      <c r="C110" s="48"/>
      <c r="D110" s="45"/>
      <c r="E110" s="45"/>
      <c r="F110" s="49"/>
      <c r="G110" s="46"/>
      <c r="H110" s="46"/>
    </row>
    <row r="111" spans="2:8">
      <c r="B111" s="45"/>
      <c r="C111" s="48"/>
      <c r="D111" s="45"/>
      <c r="E111" s="45"/>
      <c r="F111" s="49"/>
      <c r="G111" s="46"/>
      <c r="H111" s="46"/>
    </row>
    <row r="112" spans="2:8">
      <c r="B112" s="45"/>
      <c r="C112" s="48"/>
      <c r="D112" s="45"/>
      <c r="E112" s="45"/>
      <c r="F112" s="49"/>
      <c r="G112" s="46"/>
      <c r="H112" s="46"/>
    </row>
    <row r="113" spans="2:8">
      <c r="B113" s="45"/>
      <c r="C113" s="48"/>
      <c r="D113" s="45"/>
      <c r="E113" s="45"/>
      <c r="F113" s="49"/>
      <c r="G113" s="46"/>
      <c r="H113" s="46"/>
    </row>
    <row r="114" spans="2:8">
      <c r="B114" s="45"/>
      <c r="C114" s="48"/>
      <c r="D114" s="45"/>
      <c r="E114" s="48"/>
      <c r="F114" s="49"/>
      <c r="G114" s="49"/>
      <c r="H114" s="46"/>
    </row>
    <row r="115" spans="2:8">
      <c r="B115" s="45"/>
      <c r="C115" s="48"/>
      <c r="D115" s="45"/>
      <c r="E115" s="45"/>
      <c r="F115" s="49"/>
      <c r="G115" s="46"/>
      <c r="H115" s="46"/>
    </row>
    <row r="116" spans="2:8">
      <c r="B116" s="32"/>
      <c r="C116" s="50"/>
      <c r="D116" s="33"/>
      <c r="E116" s="33"/>
      <c r="F116" s="49"/>
      <c r="G116" s="46"/>
      <c r="H116" s="46"/>
    </row>
    <row r="117" spans="2:8">
      <c r="B117" s="45"/>
      <c r="C117" s="48"/>
      <c r="D117" s="45"/>
      <c r="E117" s="45"/>
      <c r="F117" s="49"/>
      <c r="G117" s="46"/>
      <c r="H117" s="46"/>
    </row>
    <row r="118" spans="2:8">
      <c r="B118" s="45"/>
      <c r="C118" s="48"/>
      <c r="D118" s="45"/>
      <c r="E118" s="48"/>
      <c r="F118" s="49"/>
      <c r="G118" s="46"/>
      <c r="H118" s="46"/>
    </row>
    <row r="119" spans="2:8">
      <c r="B119" s="45"/>
      <c r="C119" s="45"/>
      <c r="D119" s="45"/>
      <c r="E119" s="45"/>
      <c r="F119" s="46"/>
      <c r="G119" s="46"/>
      <c r="H119" s="46"/>
    </row>
    <row r="120" spans="2:8">
      <c r="B120" s="45"/>
      <c r="C120" s="45"/>
      <c r="D120" s="45"/>
      <c r="E120" s="45"/>
      <c r="F120" s="46"/>
      <c r="G120" s="46"/>
      <c r="H120" s="46"/>
    </row>
    <row r="121" spans="2:8">
      <c r="B121" s="45"/>
      <c r="C121" s="45"/>
      <c r="D121" s="45"/>
      <c r="E121" s="45"/>
      <c r="F121" s="46"/>
      <c r="G121" s="46"/>
      <c r="H121" s="46"/>
    </row>
    <row r="122" spans="2:8">
      <c r="B122" s="45"/>
      <c r="C122" s="45"/>
      <c r="D122" s="45"/>
      <c r="E122" s="45"/>
      <c r="F122" s="46"/>
      <c r="G122" s="46"/>
      <c r="H122" s="46"/>
    </row>
    <row r="123" spans="2:8">
      <c r="B123" s="45"/>
      <c r="C123" s="45"/>
      <c r="D123" s="45"/>
      <c r="E123" s="45"/>
      <c r="F123" s="46"/>
      <c r="G123" s="46"/>
      <c r="H123" s="46"/>
    </row>
    <row r="124" spans="2:8">
      <c r="B124" s="45"/>
      <c r="C124" s="45"/>
      <c r="D124" s="45"/>
      <c r="E124" s="45"/>
      <c r="F124" s="46"/>
      <c r="G124" s="46"/>
      <c r="H124" s="46"/>
    </row>
    <row r="125" spans="2:8">
      <c r="B125" s="45"/>
      <c r="C125" s="45"/>
      <c r="D125" s="45"/>
      <c r="E125" s="45"/>
      <c r="F125" s="46"/>
      <c r="G125" s="46"/>
      <c r="H125" s="46"/>
    </row>
    <row r="126" spans="2:8">
      <c r="B126" s="47"/>
      <c r="C126" s="45"/>
      <c r="D126" s="171"/>
      <c r="E126" s="171"/>
      <c r="F126" s="46"/>
      <c r="G126" s="46"/>
      <c r="H126" s="46"/>
    </row>
    <row r="127" spans="2:8">
      <c r="B127" s="45"/>
      <c r="C127" s="45"/>
      <c r="D127" s="45"/>
      <c r="E127" s="48"/>
      <c r="F127" s="46"/>
      <c r="G127" s="46"/>
      <c r="H127" s="46"/>
    </row>
    <row r="128" spans="2:8">
      <c r="B128" s="45"/>
      <c r="C128" s="45"/>
      <c r="D128" s="45"/>
      <c r="E128" s="48"/>
      <c r="F128" s="46"/>
      <c r="G128" s="46"/>
      <c r="H128" s="46"/>
    </row>
    <row r="129" spans="2:8">
      <c r="B129" s="45"/>
      <c r="C129" s="45"/>
      <c r="D129" s="45"/>
      <c r="E129" s="48"/>
      <c r="F129" s="46"/>
      <c r="G129" s="46"/>
      <c r="H129" s="46"/>
    </row>
    <row r="130" spans="2:8">
      <c r="B130" s="45"/>
      <c r="C130" s="45"/>
      <c r="D130" s="45"/>
      <c r="E130" s="48"/>
      <c r="F130" s="46"/>
      <c r="G130" s="46"/>
      <c r="H130" s="46"/>
    </row>
    <row r="131" spans="2:8">
      <c r="B131" s="45"/>
      <c r="C131" s="45"/>
      <c r="D131" s="33"/>
      <c r="E131" s="51"/>
      <c r="F131" s="46"/>
      <c r="G131" s="46"/>
      <c r="H131" s="46"/>
    </row>
    <row r="132" spans="2:8">
      <c r="B132" s="45"/>
      <c r="C132" s="45"/>
      <c r="D132" s="33"/>
      <c r="E132" s="51"/>
      <c r="F132" s="46"/>
      <c r="G132" s="46"/>
      <c r="H132" s="46"/>
    </row>
    <row r="133" spans="2:8">
      <c r="B133" s="45"/>
      <c r="C133" s="45"/>
      <c r="D133" s="33"/>
      <c r="E133" s="51"/>
      <c r="F133" s="46"/>
      <c r="G133" s="46"/>
      <c r="H133" s="46"/>
    </row>
    <row r="134" spans="2:8">
      <c r="B134" s="45"/>
      <c r="C134" s="45"/>
      <c r="D134" s="33"/>
      <c r="E134" s="51"/>
      <c r="F134" s="19"/>
      <c r="G134" s="46"/>
      <c r="H134" s="46"/>
    </row>
    <row r="135" spans="2:8">
      <c r="B135" s="45"/>
      <c r="C135" s="45"/>
      <c r="D135" s="45"/>
      <c r="E135" s="48"/>
      <c r="F135" s="46"/>
      <c r="G135" s="46"/>
      <c r="H135" s="46"/>
    </row>
    <row r="136" spans="2:8">
      <c r="B136" s="45"/>
      <c r="C136" s="45"/>
      <c r="D136" s="45"/>
      <c r="E136" s="48"/>
      <c r="F136" s="46"/>
      <c r="G136" s="46"/>
      <c r="H136" s="46"/>
    </row>
    <row r="137" spans="2:8">
      <c r="B137" s="45"/>
      <c r="C137" s="45"/>
      <c r="D137" s="45"/>
      <c r="E137" s="48"/>
      <c r="F137" s="46"/>
      <c r="G137" s="46"/>
      <c r="H137" s="46"/>
    </row>
    <row r="138" spans="2:8">
      <c r="B138" s="45"/>
      <c r="C138" s="45"/>
      <c r="D138" s="45"/>
      <c r="E138" s="48"/>
      <c r="F138" s="46"/>
      <c r="G138" s="46"/>
      <c r="H138" s="46"/>
    </row>
    <row r="139" spans="2:8">
      <c r="B139" s="45"/>
      <c r="C139" s="45"/>
      <c r="D139" s="45"/>
      <c r="E139" s="48"/>
      <c r="F139" s="46"/>
      <c r="G139" s="46"/>
      <c r="H139" s="46"/>
    </row>
    <row r="140" spans="2:8">
      <c r="B140" s="45"/>
      <c r="C140" s="45"/>
      <c r="D140" s="45"/>
      <c r="E140" s="48"/>
      <c r="F140" s="46"/>
      <c r="G140" s="46"/>
      <c r="H140" s="46"/>
    </row>
    <row r="141" spans="2:8">
      <c r="B141" s="45"/>
      <c r="C141" s="45"/>
      <c r="D141" s="45"/>
      <c r="E141" s="48"/>
      <c r="F141" s="46"/>
      <c r="G141" s="46"/>
      <c r="H141" s="46"/>
    </row>
    <row r="142" spans="2:8">
      <c r="B142" s="45"/>
      <c r="C142" s="45"/>
      <c r="D142" s="45"/>
      <c r="E142" s="48"/>
      <c r="F142" s="46"/>
      <c r="G142" s="46"/>
      <c r="H142" s="46"/>
    </row>
    <row r="143" spans="2:8">
      <c r="B143" s="45"/>
      <c r="C143" s="45"/>
      <c r="D143" s="45"/>
      <c r="E143" s="45"/>
      <c r="F143" s="46"/>
      <c r="G143" s="46"/>
      <c r="H143" s="46"/>
    </row>
    <row r="144" spans="2:8">
      <c r="B144" s="45"/>
      <c r="C144" s="45"/>
      <c r="D144" s="45"/>
      <c r="E144" s="45"/>
      <c r="F144" s="46"/>
      <c r="G144" s="46"/>
      <c r="H144" s="46"/>
    </row>
    <row r="145" spans="2:8">
      <c r="B145" s="45"/>
      <c r="C145" s="45"/>
      <c r="D145" s="45"/>
      <c r="E145" s="45"/>
      <c r="F145" s="46"/>
      <c r="G145" s="46"/>
      <c r="H145" s="46"/>
    </row>
  </sheetData>
  <sheetProtection sheet="1" objects="1" scenarios="1"/>
  <mergeCells count="5">
    <mergeCell ref="B5:O5"/>
    <mergeCell ref="B14:O14"/>
    <mergeCell ref="B31:O31"/>
    <mergeCell ref="D126:E126"/>
    <mergeCell ref="D94:E94"/>
  </mergeCells>
  <phoneticPr fontId="0" type="noConversion"/>
  <printOptions horizontalCentered="1" verticalCentered="1"/>
  <pageMargins left="0" right="0" top="0" bottom="0" header="0.51181102362204722" footer="0.51181102362204722"/>
  <pageSetup paperSize="9" scale="76" fitToHeight="6" orientation="landscape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44"/>
  <sheetViews>
    <sheetView showGridLines="0" zoomScaleNormal="100" workbookViewId="0">
      <selection activeCell="B2" sqref="B2:Q2"/>
    </sheetView>
  </sheetViews>
  <sheetFormatPr baseColWidth="10" defaultRowHeight="15.75"/>
  <cols>
    <col min="1" max="1" width="3.7109375" style="5" customWidth="1"/>
    <col min="2" max="2" width="27.7109375" style="5" customWidth="1"/>
    <col min="3" max="15" width="11.7109375" style="5" customWidth="1"/>
    <col min="16" max="16" width="11.7109375" style="4" customWidth="1"/>
    <col min="17" max="17" width="13.42578125" style="4" bestFit="1" customWidth="1"/>
    <col min="18" max="19" width="19" style="4" bestFit="1" customWidth="1"/>
    <col min="20" max="56" width="11.42578125" style="4"/>
    <col min="57" max="16384" width="11.42578125" style="5"/>
  </cols>
  <sheetData>
    <row r="1" spans="2:56" ht="16.5" thickBot="1">
      <c r="B1" s="1"/>
      <c r="C1" s="1"/>
      <c r="D1" s="2"/>
      <c r="E1" s="64"/>
      <c r="F1" s="60"/>
      <c r="G1" s="2"/>
      <c r="H1" s="65"/>
      <c r="I1" s="65"/>
      <c r="J1" s="65"/>
      <c r="K1" s="65"/>
      <c r="L1" s="65"/>
      <c r="M1" s="65"/>
      <c r="N1" s="65"/>
    </row>
    <row r="2" spans="2:56" ht="16.5" thickBot="1">
      <c r="B2" s="172" t="s">
        <v>139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</row>
    <row r="3" spans="2:56">
      <c r="B3" s="16" t="s">
        <v>0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4" t="s">
        <v>18</v>
      </c>
      <c r="I3" s="14" t="s">
        <v>19</v>
      </c>
      <c r="J3" s="14" t="s">
        <v>87</v>
      </c>
      <c r="K3" s="14" t="s">
        <v>88</v>
      </c>
      <c r="L3" s="14" t="s">
        <v>89</v>
      </c>
      <c r="M3" s="14" t="s">
        <v>90</v>
      </c>
      <c r="N3" s="14" t="s">
        <v>91</v>
      </c>
      <c r="O3" s="13" t="s">
        <v>114</v>
      </c>
      <c r="P3" s="13" t="s">
        <v>114</v>
      </c>
      <c r="Q3" s="15" t="s">
        <v>109</v>
      </c>
      <c r="R3" s="61"/>
      <c r="S3" s="61"/>
    </row>
    <row r="4" spans="2:56" s="10" customFormat="1">
      <c r="B4" s="152" t="s">
        <v>127</v>
      </c>
      <c r="C4" s="153">
        <f>'Ventes-Charges-TVA'!C$10*0.4</f>
        <v>12000</v>
      </c>
      <c r="D4" s="153">
        <f>'Ventes-Charges-TVA'!C$10*0.4</f>
        <v>12000</v>
      </c>
      <c r="E4" s="153">
        <f>'Ventes-Charges-TVA'!C$10*0.2</f>
        <v>6000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67">
        <f>SUM(C4:P4)</f>
        <v>30000</v>
      </c>
      <c r="R4" s="62"/>
      <c r="S4" s="6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s="10" customFormat="1">
      <c r="B5" s="152" t="s">
        <v>128</v>
      </c>
      <c r="C5" s="153"/>
      <c r="D5" s="153">
        <f>'Ventes-Charges-TVA'!D$10*0.4</f>
        <v>12000</v>
      </c>
      <c r="E5" s="153">
        <f>'Ventes-Charges-TVA'!D$10*0.4</f>
        <v>12000</v>
      </c>
      <c r="F5" s="153">
        <f>'Ventes-Charges-TVA'!D$10*0.2</f>
        <v>6000</v>
      </c>
      <c r="G5" s="153"/>
      <c r="H5" s="153"/>
      <c r="I5" s="153"/>
      <c r="J5" s="153"/>
      <c r="K5" s="153"/>
      <c r="L5" s="153"/>
      <c r="M5" s="153"/>
      <c r="N5" s="153"/>
      <c r="O5" s="153"/>
      <c r="P5" s="154"/>
      <c r="Q5" s="67">
        <f t="shared" ref="Q5:Q15" si="0">SUM(C5:P5)</f>
        <v>30000</v>
      </c>
      <c r="R5" s="62"/>
      <c r="S5" s="6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10" customFormat="1">
      <c r="B6" s="152" t="s">
        <v>129</v>
      </c>
      <c r="C6" s="153"/>
      <c r="D6" s="153"/>
      <c r="E6" s="153">
        <f>'Ventes-Charges-TVA'!E$10*0.4</f>
        <v>12000</v>
      </c>
      <c r="F6" s="153">
        <f>'Ventes-Charges-TVA'!E$10*0.4</f>
        <v>12000</v>
      </c>
      <c r="G6" s="153">
        <f>'Ventes-Charges-TVA'!E$10*0.2</f>
        <v>6000</v>
      </c>
      <c r="H6" s="153"/>
      <c r="I6" s="153"/>
      <c r="J6" s="153"/>
      <c r="K6" s="153"/>
      <c r="L6" s="153"/>
      <c r="M6" s="153"/>
      <c r="N6" s="153"/>
      <c r="O6" s="153"/>
      <c r="P6" s="154"/>
      <c r="Q6" s="67">
        <f t="shared" si="0"/>
        <v>30000</v>
      </c>
      <c r="R6" s="62"/>
      <c r="S6" s="6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2:56" s="10" customFormat="1">
      <c r="B7" s="152" t="s">
        <v>130</v>
      </c>
      <c r="C7" s="153"/>
      <c r="D7" s="153"/>
      <c r="E7" s="153"/>
      <c r="F7" s="153">
        <f>'Ventes-Charges-TVA'!F$10*0.4</f>
        <v>19200</v>
      </c>
      <c r="G7" s="153">
        <f>'Ventes-Charges-TVA'!F$10*0.4</f>
        <v>19200</v>
      </c>
      <c r="H7" s="153">
        <f>'Ventes-Charges-TVA'!F$10*0.2</f>
        <v>9600</v>
      </c>
      <c r="I7" s="153"/>
      <c r="J7" s="153"/>
      <c r="K7" s="153"/>
      <c r="L7" s="153"/>
      <c r="M7" s="153"/>
      <c r="N7" s="153"/>
      <c r="O7" s="153"/>
      <c r="P7" s="154"/>
      <c r="Q7" s="67">
        <f t="shared" si="0"/>
        <v>48000</v>
      </c>
      <c r="R7" s="62"/>
      <c r="S7" s="6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56" s="10" customFormat="1">
      <c r="B8" s="152" t="s">
        <v>131</v>
      </c>
      <c r="C8" s="153"/>
      <c r="D8" s="153"/>
      <c r="E8" s="153"/>
      <c r="F8" s="153"/>
      <c r="G8" s="153">
        <f>'Ventes-Charges-TVA'!G$10*0.4</f>
        <v>19200</v>
      </c>
      <c r="H8" s="153">
        <f>'Ventes-Charges-TVA'!G$10*0.4</f>
        <v>19200</v>
      </c>
      <c r="I8" s="153">
        <f>'Ventes-Charges-TVA'!G$10*0.2</f>
        <v>9600</v>
      </c>
      <c r="J8" s="153"/>
      <c r="K8" s="153"/>
      <c r="L8" s="153"/>
      <c r="M8" s="153"/>
      <c r="N8" s="153"/>
      <c r="O8" s="153"/>
      <c r="P8" s="154"/>
      <c r="Q8" s="67">
        <f t="shared" si="0"/>
        <v>48000</v>
      </c>
      <c r="R8" s="62"/>
      <c r="S8" s="6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2:56" s="10" customFormat="1">
      <c r="B9" s="152" t="s">
        <v>132</v>
      </c>
      <c r="C9" s="153"/>
      <c r="D9" s="153"/>
      <c r="E9" s="153"/>
      <c r="F9" s="153"/>
      <c r="G9" s="153"/>
      <c r="H9" s="153">
        <f>'Ventes-Charges-TVA'!H$10*0.4</f>
        <v>19200</v>
      </c>
      <c r="I9" s="153">
        <f>'Ventes-Charges-TVA'!H$10*0.4</f>
        <v>19200</v>
      </c>
      <c r="J9" s="153">
        <f>'Ventes-Charges-TVA'!H$10*0.2</f>
        <v>9600</v>
      </c>
      <c r="K9" s="153"/>
      <c r="L9" s="153"/>
      <c r="M9" s="153"/>
      <c r="N9" s="153"/>
      <c r="O9" s="153"/>
      <c r="P9" s="154"/>
      <c r="Q9" s="67">
        <f t="shared" si="0"/>
        <v>48000</v>
      </c>
      <c r="R9" s="62"/>
      <c r="S9" s="6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2:56" s="10" customFormat="1">
      <c r="B10" s="152" t="s">
        <v>133</v>
      </c>
      <c r="C10" s="153"/>
      <c r="D10" s="153"/>
      <c r="E10" s="153"/>
      <c r="F10" s="153"/>
      <c r="G10" s="153"/>
      <c r="H10" s="153"/>
      <c r="I10" s="153">
        <f>'Ventes-Charges-TVA'!I$10*0.4</f>
        <v>19200</v>
      </c>
      <c r="J10" s="153">
        <f>'Ventes-Charges-TVA'!I$10*0.4</f>
        <v>19200</v>
      </c>
      <c r="K10" s="153">
        <f>'Ventes-Charges-TVA'!I$10*0.2</f>
        <v>9600</v>
      </c>
      <c r="L10" s="153"/>
      <c r="M10" s="153"/>
      <c r="N10" s="153"/>
      <c r="O10" s="153"/>
      <c r="P10" s="154"/>
      <c r="Q10" s="67">
        <f t="shared" si="0"/>
        <v>48000</v>
      </c>
      <c r="R10" s="62"/>
      <c r="S10" s="6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2:56" s="10" customFormat="1">
      <c r="B11" s="152" t="s">
        <v>134</v>
      </c>
      <c r="C11" s="153"/>
      <c r="D11" s="153"/>
      <c r="E11" s="153"/>
      <c r="F11" s="153"/>
      <c r="G11" s="153"/>
      <c r="H11" s="153"/>
      <c r="I11" s="153"/>
      <c r="J11" s="153">
        <f>'Ventes-Charges-TVA'!J$10*0.4</f>
        <v>12000</v>
      </c>
      <c r="K11" s="153">
        <f>'Ventes-Charges-TVA'!J$10*0.4</f>
        <v>12000</v>
      </c>
      <c r="L11" s="153">
        <f>'Ventes-Charges-TVA'!J$10*0.2</f>
        <v>6000</v>
      </c>
      <c r="M11" s="153"/>
      <c r="N11" s="153"/>
      <c r="O11" s="153"/>
      <c r="P11" s="154"/>
      <c r="Q11" s="67">
        <f t="shared" si="0"/>
        <v>30000</v>
      </c>
      <c r="R11" s="62"/>
      <c r="S11" s="6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2:56" s="10" customFormat="1">
      <c r="B12" s="152" t="s">
        <v>135</v>
      </c>
      <c r="C12" s="153"/>
      <c r="D12" s="153"/>
      <c r="E12" s="153"/>
      <c r="F12" s="153"/>
      <c r="G12" s="153"/>
      <c r="H12" s="153"/>
      <c r="I12" s="153"/>
      <c r="J12" s="153"/>
      <c r="K12" s="153">
        <f>'Ventes-Charges-TVA'!K$10*0.4</f>
        <v>24000</v>
      </c>
      <c r="L12" s="153">
        <f>'Ventes-Charges-TVA'!K$10*0.4</f>
        <v>24000</v>
      </c>
      <c r="M12" s="153">
        <f>'Ventes-Charges-TVA'!K$10*0.2</f>
        <v>12000</v>
      </c>
      <c r="N12" s="153"/>
      <c r="O12" s="153"/>
      <c r="P12" s="154"/>
      <c r="Q12" s="67">
        <f t="shared" si="0"/>
        <v>60000</v>
      </c>
      <c r="R12" s="62"/>
      <c r="S12" s="6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2:56" s="10" customFormat="1">
      <c r="B13" s="152" t="s">
        <v>136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>
        <f>'Ventes-Charges-TVA'!L$10*0.4</f>
        <v>24000</v>
      </c>
      <c r="M13" s="153">
        <f>'Ventes-Charges-TVA'!L$10*0.4</f>
        <v>24000</v>
      </c>
      <c r="N13" s="153">
        <f>'Ventes-Charges-TVA'!L$10*0.2</f>
        <v>12000</v>
      </c>
      <c r="O13" s="153"/>
      <c r="P13" s="154"/>
      <c r="Q13" s="67">
        <f t="shared" si="0"/>
        <v>60000</v>
      </c>
      <c r="R13" s="62"/>
      <c r="S13" s="6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2:56" s="10" customFormat="1">
      <c r="B14" s="152" t="s">
        <v>137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>
        <f>'Ventes-Charges-TVA'!M$10*0.4</f>
        <v>33600</v>
      </c>
      <c r="N14" s="153">
        <f>'Ventes-Charges-TVA'!M$10*0.4</f>
        <v>33600</v>
      </c>
      <c r="O14" s="153">
        <f>'Ventes-Charges-TVA'!M$10*0.2</f>
        <v>16800</v>
      </c>
      <c r="P14" s="154"/>
      <c r="Q14" s="67">
        <f t="shared" si="0"/>
        <v>84000</v>
      </c>
      <c r="R14" s="62"/>
      <c r="S14" s="6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2:56" s="10" customFormat="1">
      <c r="B15" s="152" t="s">
        <v>138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>
        <f>'Ventes-Charges-TVA'!N$10*0.4</f>
        <v>33600</v>
      </c>
      <c r="O15" s="153">
        <f>'Ventes-Charges-TVA'!N$10*0.4</f>
        <v>33600</v>
      </c>
      <c r="P15" s="153">
        <f>'Ventes-Charges-TVA'!N$10*0.2</f>
        <v>16800</v>
      </c>
      <c r="Q15" s="67">
        <f t="shared" si="0"/>
        <v>84000</v>
      </c>
      <c r="R15" s="62"/>
      <c r="S15" s="6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2:56">
      <c r="B16" s="68" t="s">
        <v>5</v>
      </c>
      <c r="C16" s="7">
        <f>SUM(C4:C15)</f>
        <v>12000</v>
      </c>
      <c r="D16" s="7">
        <f t="shared" ref="D16:N16" si="1">SUM(D4:D15)</f>
        <v>24000</v>
      </c>
      <c r="E16" s="7">
        <f t="shared" si="1"/>
        <v>30000</v>
      </c>
      <c r="F16" s="7">
        <f t="shared" si="1"/>
        <v>37200</v>
      </c>
      <c r="G16" s="7">
        <f t="shared" si="1"/>
        <v>44400</v>
      </c>
      <c r="H16" s="7">
        <f t="shared" si="1"/>
        <v>48000</v>
      </c>
      <c r="I16" s="7">
        <f t="shared" si="1"/>
        <v>48000</v>
      </c>
      <c r="J16" s="7">
        <f t="shared" si="1"/>
        <v>40800</v>
      </c>
      <c r="K16" s="7">
        <f t="shared" si="1"/>
        <v>45600</v>
      </c>
      <c r="L16" s="7">
        <f t="shared" si="1"/>
        <v>54000</v>
      </c>
      <c r="M16" s="7">
        <f t="shared" si="1"/>
        <v>69600</v>
      </c>
      <c r="N16" s="7">
        <f t="shared" si="1"/>
        <v>79200</v>
      </c>
      <c r="O16" s="7">
        <f>SUM(O4:O15)</f>
        <v>50400</v>
      </c>
      <c r="P16" s="7">
        <f>SUM(P4:P15)</f>
        <v>16800</v>
      </c>
      <c r="Q16" s="72">
        <f>SUM(Q4:Q15)</f>
        <v>600000</v>
      </c>
      <c r="R16" s="63"/>
      <c r="S16" s="63"/>
    </row>
    <row r="17" spans="2:56" ht="16.5" thickBot="1">
      <c r="B17" s="69" t="s">
        <v>11</v>
      </c>
      <c r="C17" s="70">
        <f>C16</f>
        <v>12000</v>
      </c>
      <c r="D17" s="70">
        <f>C17+D16</f>
        <v>36000</v>
      </c>
      <c r="E17" s="70">
        <f t="shared" ref="E17:P17" si="2">D17+E16</f>
        <v>66000</v>
      </c>
      <c r="F17" s="70">
        <f t="shared" si="2"/>
        <v>103200</v>
      </c>
      <c r="G17" s="70">
        <f t="shared" si="2"/>
        <v>147600</v>
      </c>
      <c r="H17" s="70">
        <f t="shared" si="2"/>
        <v>195600</v>
      </c>
      <c r="I17" s="70">
        <f t="shared" si="2"/>
        <v>243600</v>
      </c>
      <c r="J17" s="70">
        <f t="shared" si="2"/>
        <v>284400</v>
      </c>
      <c r="K17" s="70">
        <f t="shared" si="2"/>
        <v>330000</v>
      </c>
      <c r="L17" s="70">
        <f t="shared" si="2"/>
        <v>384000</v>
      </c>
      <c r="M17" s="70">
        <f t="shared" si="2"/>
        <v>453600</v>
      </c>
      <c r="N17" s="70">
        <f t="shared" si="2"/>
        <v>532800</v>
      </c>
      <c r="O17" s="70">
        <f t="shared" si="2"/>
        <v>583200</v>
      </c>
      <c r="P17" s="73">
        <f t="shared" si="2"/>
        <v>600000</v>
      </c>
      <c r="Q17" s="71"/>
      <c r="R17" s="62"/>
      <c r="S17" s="62"/>
    </row>
    <row r="18" spans="2:56" ht="16.5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56" ht="16.5" thickBot="1">
      <c r="B19" s="172" t="s">
        <v>140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</row>
    <row r="20" spans="2:56">
      <c r="B20" s="16" t="s">
        <v>0</v>
      </c>
      <c r="C20" s="13" t="s">
        <v>13</v>
      </c>
      <c r="D20" s="13" t="s">
        <v>14</v>
      </c>
      <c r="E20" s="13" t="s">
        <v>15</v>
      </c>
      <c r="F20" s="13" t="s">
        <v>16</v>
      </c>
      <c r="G20" s="13" t="s">
        <v>17</v>
      </c>
      <c r="H20" s="14" t="s">
        <v>18</v>
      </c>
      <c r="I20" s="14" t="s">
        <v>19</v>
      </c>
      <c r="J20" s="14" t="s">
        <v>87</v>
      </c>
      <c r="K20" s="14" t="s">
        <v>88</v>
      </c>
      <c r="L20" s="14" t="s">
        <v>89</v>
      </c>
      <c r="M20" s="14" t="s">
        <v>90</v>
      </c>
      <c r="N20" s="14" t="s">
        <v>91</v>
      </c>
      <c r="O20" s="15" t="s">
        <v>115</v>
      </c>
      <c r="P20" s="61"/>
      <c r="Q20" s="61"/>
      <c r="R20" s="61"/>
      <c r="S20" s="61"/>
    </row>
    <row r="21" spans="2:56" s="10" customFormat="1">
      <c r="B21" s="148" t="s">
        <v>93</v>
      </c>
      <c r="C21" s="80">
        <f>'Ventes-Charges-TVA'!C$16*0.8</f>
        <v>12000</v>
      </c>
      <c r="D21" s="80">
        <f>'Ventes-Charges-TVA'!D$16*0.8</f>
        <v>12000</v>
      </c>
      <c r="E21" s="80">
        <f>'Ventes-Charges-TVA'!E$16*0.8</f>
        <v>12000</v>
      </c>
      <c r="F21" s="80">
        <f>'Ventes-Charges-TVA'!F$16*0.8</f>
        <v>12000</v>
      </c>
      <c r="G21" s="80">
        <f>'Ventes-Charges-TVA'!G$16*0.8</f>
        <v>12000</v>
      </c>
      <c r="H21" s="80">
        <f>'Ventes-Charges-TVA'!H$16*0.8</f>
        <v>12000</v>
      </c>
      <c r="I21" s="80">
        <f>'Ventes-Charges-TVA'!I$16*0.8</f>
        <v>12000</v>
      </c>
      <c r="J21" s="80">
        <f>'Ventes-Charges-TVA'!J$16*0.8</f>
        <v>12000</v>
      </c>
      <c r="K21" s="80">
        <f>'Ventes-Charges-TVA'!K$16*0.8</f>
        <v>12000</v>
      </c>
      <c r="L21" s="80">
        <f>'Ventes-Charges-TVA'!L$16*0.8</f>
        <v>12000</v>
      </c>
      <c r="M21" s="80">
        <f>'Ventes-Charges-TVA'!M$16*0.8</f>
        <v>12000</v>
      </c>
      <c r="N21" s="80">
        <f>'Ventes-Charges-TVA'!N$16*0.8</f>
        <v>12000</v>
      </c>
      <c r="O21" s="78"/>
      <c r="P21" s="62"/>
      <c r="Q21" s="62"/>
      <c r="R21" s="62"/>
      <c r="S21" s="62"/>
      <c r="T21" s="62"/>
      <c r="U21" s="62"/>
      <c r="V21" s="62"/>
      <c r="W21" s="6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2:56" s="10" customFormat="1">
      <c r="B22" s="148" t="s">
        <v>94</v>
      </c>
      <c r="C22" s="80">
        <f>'Ventes-Charges-TVA'!C$17*0.8</f>
        <v>3840</v>
      </c>
      <c r="D22" s="80">
        <f>'Ventes-Charges-TVA'!D$17*0.8</f>
        <v>3840</v>
      </c>
      <c r="E22" s="80">
        <f>'Ventes-Charges-TVA'!E$17*0.8</f>
        <v>3840</v>
      </c>
      <c r="F22" s="80">
        <f>'Ventes-Charges-TVA'!F$17*0.8</f>
        <v>3840</v>
      </c>
      <c r="G22" s="80">
        <f>'Ventes-Charges-TVA'!G$17*0.8</f>
        <v>3840</v>
      </c>
      <c r="H22" s="80">
        <f>'Ventes-Charges-TVA'!H$17*0.8</f>
        <v>3840</v>
      </c>
      <c r="I22" s="80">
        <f>'Ventes-Charges-TVA'!I$17*0.8</f>
        <v>3840</v>
      </c>
      <c r="J22" s="80">
        <f>'Ventes-Charges-TVA'!J$17*0.8</f>
        <v>3840</v>
      </c>
      <c r="K22" s="80">
        <f>'Ventes-Charges-TVA'!K$17*0.8</f>
        <v>3840</v>
      </c>
      <c r="L22" s="80">
        <f>'Ventes-Charges-TVA'!L$17*0.8</f>
        <v>3840</v>
      </c>
      <c r="M22" s="80">
        <f>'Ventes-Charges-TVA'!M$17*0.8</f>
        <v>3840</v>
      </c>
      <c r="N22" s="80">
        <f>'Ventes-Charges-TVA'!N$17*0.8</f>
        <v>3840</v>
      </c>
      <c r="O22" s="78"/>
      <c r="P22" s="62"/>
      <c r="Q22" s="62"/>
      <c r="R22" s="62"/>
      <c r="S22" s="62"/>
      <c r="T22" s="62"/>
      <c r="U22" s="62"/>
      <c r="V22" s="62"/>
      <c r="W22" s="62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2:56" s="10" customFormat="1">
      <c r="B23" s="148" t="s">
        <v>95</v>
      </c>
      <c r="C23" s="80">
        <f>'Ventes-Charges-TVA'!C$18*0.8</f>
        <v>1600</v>
      </c>
      <c r="D23" s="80">
        <f>'Ventes-Charges-TVA'!D$18*0.8</f>
        <v>1600</v>
      </c>
      <c r="E23" s="80">
        <f>'Ventes-Charges-TVA'!E$18*0.8</f>
        <v>1600</v>
      </c>
      <c r="F23" s="80">
        <f>'Ventes-Charges-TVA'!F$18*0.8</f>
        <v>1600</v>
      </c>
      <c r="G23" s="80">
        <f>'Ventes-Charges-TVA'!G$18*0.8</f>
        <v>1600</v>
      </c>
      <c r="H23" s="80">
        <f>'Ventes-Charges-TVA'!H$18*0.8</f>
        <v>1600</v>
      </c>
      <c r="I23" s="80">
        <f>'Ventes-Charges-TVA'!I$18*0.8</f>
        <v>1600</v>
      </c>
      <c r="J23" s="80">
        <f>'Ventes-Charges-TVA'!J$18*0.8</f>
        <v>1600</v>
      </c>
      <c r="K23" s="80">
        <f>'Ventes-Charges-TVA'!K$18*0.8</f>
        <v>1600</v>
      </c>
      <c r="L23" s="80">
        <f>'Ventes-Charges-TVA'!L$18*0.8</f>
        <v>1600</v>
      </c>
      <c r="M23" s="80">
        <f>'Ventes-Charges-TVA'!M$18*0.8</f>
        <v>1600</v>
      </c>
      <c r="N23" s="80">
        <f>'Ventes-Charges-TVA'!N$18*0.8</f>
        <v>1600</v>
      </c>
      <c r="O23" s="78"/>
      <c r="P23" s="62"/>
      <c r="Q23" s="62"/>
      <c r="R23" s="62"/>
      <c r="S23" s="62"/>
      <c r="T23" s="62"/>
      <c r="U23" s="62"/>
      <c r="V23" s="62"/>
      <c r="W23" s="6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2:56" s="10" customFormat="1">
      <c r="B24" s="148" t="s">
        <v>96</v>
      </c>
      <c r="C24" s="80"/>
      <c r="D24" s="80">
        <f>SUM('Ventes-Charges-TVA'!D$16:D$18)*0.6</f>
        <v>13080</v>
      </c>
      <c r="E24" s="80">
        <f>SUM('Ventes-Charges-TVA'!E$16:E$18)*0.6</f>
        <v>13080</v>
      </c>
      <c r="F24" s="80">
        <f>SUM('Ventes-Charges-TVA'!F$16:F$18)*0.6</f>
        <v>13080</v>
      </c>
      <c r="G24" s="80">
        <f>SUM('Ventes-Charges-TVA'!G$16:G$18)*0.6</f>
        <v>13080</v>
      </c>
      <c r="H24" s="80">
        <f>SUM('Ventes-Charges-TVA'!H$16:H$18)*0.6</f>
        <v>13080</v>
      </c>
      <c r="I24" s="80">
        <f>SUM('Ventes-Charges-TVA'!I$16:I$18)*0.6</f>
        <v>13080</v>
      </c>
      <c r="J24" s="80">
        <f>SUM('Ventes-Charges-TVA'!J$16:J$18)*0.6</f>
        <v>13080</v>
      </c>
      <c r="K24" s="80">
        <f>SUM('Ventes-Charges-TVA'!K$16:K$18)*0.6</f>
        <v>13080</v>
      </c>
      <c r="L24" s="80">
        <f>SUM('Ventes-Charges-TVA'!L$16:L$18)*0.6</f>
        <v>13080</v>
      </c>
      <c r="M24" s="80">
        <f>SUM('Ventes-Charges-TVA'!M$16:M$18)*0.6</f>
        <v>13080</v>
      </c>
      <c r="N24" s="80">
        <f>SUM('Ventes-Charges-TVA'!N$16:N$18)*0.6</f>
        <v>13080</v>
      </c>
      <c r="O24" s="78">
        <f>N24</f>
        <v>13080</v>
      </c>
      <c r="P24" s="63"/>
      <c r="Q24" s="62"/>
      <c r="R24" s="62"/>
      <c r="S24" s="62"/>
      <c r="T24" s="62"/>
      <c r="U24" s="62"/>
      <c r="V24" s="62"/>
      <c r="W24" s="6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2:56" s="10" customFormat="1">
      <c r="B25" s="148" t="s">
        <v>97</v>
      </c>
      <c r="C25" s="80">
        <f>'Ventes-Charges-TVA'!C20</f>
        <v>4000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78"/>
      <c r="P25" s="62"/>
      <c r="Q25" s="62"/>
      <c r="R25" s="62"/>
      <c r="S25" s="62"/>
      <c r="T25" s="62"/>
      <c r="U25" s="62"/>
      <c r="V25" s="62"/>
      <c r="W25" s="6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2:56" s="10" customFormat="1">
      <c r="B26" s="148" t="s">
        <v>98</v>
      </c>
      <c r="C26" s="80"/>
      <c r="D26" s="80">
        <f>'Ventes-Charges-TVA'!D21*1.2</f>
        <v>3600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78"/>
      <c r="P26" s="62"/>
      <c r="Q26" s="62"/>
      <c r="R26" s="62"/>
      <c r="S26" s="62"/>
      <c r="T26" s="62"/>
      <c r="U26" s="62"/>
      <c r="V26" s="62"/>
      <c r="W26" s="6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2:56" s="10" customFormat="1">
      <c r="B27" s="148" t="s">
        <v>99</v>
      </c>
      <c r="C27" s="80"/>
      <c r="D27" s="80"/>
      <c r="E27" s="149"/>
      <c r="F27" s="80"/>
      <c r="G27" s="80">
        <f>'Ventes-Charges-TVA'!G22*1.2</f>
        <v>2400</v>
      </c>
      <c r="H27" s="80"/>
      <c r="I27" s="80"/>
      <c r="J27" s="80"/>
      <c r="K27" s="80"/>
      <c r="L27" s="80"/>
      <c r="M27" s="80"/>
      <c r="N27" s="80"/>
      <c r="O27" s="78"/>
      <c r="P27" s="62"/>
      <c r="Q27" s="62"/>
      <c r="R27" s="62"/>
      <c r="S27" s="62"/>
      <c r="T27" s="62"/>
      <c r="U27" s="62"/>
      <c r="V27" s="62"/>
      <c r="W27" s="6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2:56" s="10" customFormat="1">
      <c r="B28" s="148" t="s">
        <v>100</v>
      </c>
      <c r="C28" s="80">
        <f>'Ventes-Charges-TVA'!C$23*1.2</f>
        <v>1800</v>
      </c>
      <c r="D28" s="80">
        <f>'Ventes-Charges-TVA'!D$23*1.2</f>
        <v>1800</v>
      </c>
      <c r="E28" s="80">
        <f>'Ventes-Charges-TVA'!E$23*1.2</f>
        <v>1800</v>
      </c>
      <c r="F28" s="80">
        <f>'Ventes-Charges-TVA'!F$23*1.2</f>
        <v>1800</v>
      </c>
      <c r="G28" s="80">
        <f>'Ventes-Charges-TVA'!G$23*1.2</f>
        <v>1800</v>
      </c>
      <c r="H28" s="80">
        <f>'Ventes-Charges-TVA'!H$23*1.2</f>
        <v>1800</v>
      </c>
      <c r="I28" s="80">
        <f>'Ventes-Charges-TVA'!I$23*1.2</f>
        <v>1800</v>
      </c>
      <c r="J28" s="80">
        <f>'Ventes-Charges-TVA'!J$23*1.2</f>
        <v>1800</v>
      </c>
      <c r="K28" s="80">
        <f>'Ventes-Charges-TVA'!K$23*1.2</f>
        <v>1800</v>
      </c>
      <c r="L28" s="80">
        <f>'Ventes-Charges-TVA'!L$23*1.2</f>
        <v>1800</v>
      </c>
      <c r="M28" s="80">
        <f>'Ventes-Charges-TVA'!M$23*1.2</f>
        <v>1800</v>
      </c>
      <c r="N28" s="80">
        <f>'Ventes-Charges-TVA'!N$23*1.2</f>
        <v>1800</v>
      </c>
      <c r="O28" s="150"/>
      <c r="P28" s="62"/>
      <c r="Q28" s="62"/>
      <c r="R28" s="62"/>
      <c r="S28" s="62"/>
      <c r="T28" s="62"/>
      <c r="U28" s="62"/>
      <c r="V28" s="62"/>
      <c r="W28" s="6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2:56" s="10" customFormat="1">
      <c r="B29" s="148" t="s">
        <v>101</v>
      </c>
      <c r="C29" s="80"/>
      <c r="D29" s="80">
        <f>'Ventes-Charges-TVA'!C$24*1.2</f>
        <v>240</v>
      </c>
      <c r="E29" s="80">
        <f>'Ventes-Charges-TVA'!D$24*1.2</f>
        <v>240</v>
      </c>
      <c r="F29" s="80">
        <f>'Ventes-Charges-TVA'!E$24*1.2</f>
        <v>240</v>
      </c>
      <c r="G29" s="80">
        <f>'Ventes-Charges-TVA'!F$24*1.2</f>
        <v>240</v>
      </c>
      <c r="H29" s="80">
        <f>'Ventes-Charges-TVA'!G$24*1.2</f>
        <v>240</v>
      </c>
      <c r="I29" s="80">
        <f>'Ventes-Charges-TVA'!H$24*1.2</f>
        <v>240</v>
      </c>
      <c r="J29" s="80">
        <f>'Ventes-Charges-TVA'!I$24*1.2</f>
        <v>240</v>
      </c>
      <c r="K29" s="80">
        <f>'Ventes-Charges-TVA'!J$24*1.2</f>
        <v>240</v>
      </c>
      <c r="L29" s="80">
        <f>'Ventes-Charges-TVA'!K$24*1.2</f>
        <v>240</v>
      </c>
      <c r="M29" s="80">
        <f>'Ventes-Charges-TVA'!L$24*1.2</f>
        <v>240</v>
      </c>
      <c r="N29" s="80">
        <f>'Ventes-Charges-TVA'!M$24*1.2</f>
        <v>240</v>
      </c>
      <c r="O29" s="78">
        <f>'Ventes-Charges-TVA'!N$24*1.2</f>
        <v>240</v>
      </c>
      <c r="P29" s="63"/>
      <c r="Q29" s="63"/>
      <c r="R29" s="62"/>
      <c r="S29" s="62"/>
      <c r="T29" s="62"/>
      <c r="U29" s="62"/>
      <c r="V29" s="62"/>
      <c r="W29" s="6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2:56" s="10" customFormat="1">
      <c r="B30" s="148" t="s">
        <v>102</v>
      </c>
      <c r="C30" s="80"/>
      <c r="D30" s="80">
        <f>'Ventes-Charges-TVA'!C$25*1.2</f>
        <v>360</v>
      </c>
      <c r="E30" s="80">
        <f>'Ventes-Charges-TVA'!D$25*1.2</f>
        <v>360</v>
      </c>
      <c r="F30" s="80">
        <f>'Ventes-Charges-TVA'!E$25*1.2</f>
        <v>360</v>
      </c>
      <c r="G30" s="80">
        <f>'Ventes-Charges-TVA'!F$25*1.2</f>
        <v>360</v>
      </c>
      <c r="H30" s="80">
        <f>'Ventes-Charges-TVA'!G$25*1.2</f>
        <v>360</v>
      </c>
      <c r="I30" s="80">
        <f>'Ventes-Charges-TVA'!H$25*1.2</f>
        <v>360</v>
      </c>
      <c r="J30" s="80">
        <f>'Ventes-Charges-TVA'!I$25*1.2</f>
        <v>360</v>
      </c>
      <c r="K30" s="80">
        <f>'Ventes-Charges-TVA'!J$25*1.2</f>
        <v>360</v>
      </c>
      <c r="L30" s="80">
        <f>'Ventes-Charges-TVA'!K$25*1.2</f>
        <v>360</v>
      </c>
      <c r="M30" s="80">
        <f>'Ventes-Charges-TVA'!L$25*1.2</f>
        <v>360</v>
      </c>
      <c r="N30" s="80">
        <f>'Ventes-Charges-TVA'!M$25*1.2</f>
        <v>360</v>
      </c>
      <c r="O30" s="78">
        <f>'Ventes-Charges-TVA'!N$25*1.2</f>
        <v>360</v>
      </c>
      <c r="P30" s="63"/>
      <c r="Q30" s="63"/>
      <c r="R30" s="62"/>
      <c r="S30" s="62"/>
      <c r="T30" s="62"/>
      <c r="U30" s="62"/>
      <c r="V30" s="62"/>
      <c r="W30" s="6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2:56" s="10" customFormat="1">
      <c r="B31" s="148" t="s">
        <v>103</v>
      </c>
      <c r="C31" s="80"/>
      <c r="D31" s="80">
        <f>'Ventes-Charges-TVA'!C$26*1.2</f>
        <v>120</v>
      </c>
      <c r="E31" s="80">
        <f>'Ventes-Charges-TVA'!D$26*1.2</f>
        <v>120</v>
      </c>
      <c r="F31" s="80">
        <f>'Ventes-Charges-TVA'!E$26*1.2</f>
        <v>120</v>
      </c>
      <c r="G31" s="80">
        <f>'Ventes-Charges-TVA'!F$26*1.2</f>
        <v>120</v>
      </c>
      <c r="H31" s="80">
        <f>'Ventes-Charges-TVA'!G$26*1.2</f>
        <v>120</v>
      </c>
      <c r="I31" s="80">
        <f>'Ventes-Charges-TVA'!H$26*1.2</f>
        <v>120</v>
      </c>
      <c r="J31" s="80">
        <f>'Ventes-Charges-TVA'!I$26*1.2</f>
        <v>120</v>
      </c>
      <c r="K31" s="80">
        <f>'Ventes-Charges-TVA'!J$26*1.2</f>
        <v>120</v>
      </c>
      <c r="L31" s="80">
        <f>'Ventes-Charges-TVA'!K$26*1.2</f>
        <v>120</v>
      </c>
      <c r="M31" s="80">
        <f>'Ventes-Charges-TVA'!L$26*1.2</f>
        <v>120</v>
      </c>
      <c r="N31" s="80">
        <f>'Ventes-Charges-TVA'!M$26*1.2</f>
        <v>120</v>
      </c>
      <c r="O31" s="78">
        <f>'Ventes-Charges-TVA'!N$26*1.2</f>
        <v>120</v>
      </c>
      <c r="P31" s="63"/>
      <c r="Q31" s="63"/>
      <c r="R31" s="62"/>
      <c r="S31" s="62"/>
      <c r="T31" s="62"/>
      <c r="U31" s="62"/>
      <c r="V31" s="62"/>
      <c r="W31" s="6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2:56" s="10" customFormat="1">
      <c r="B32" s="148" t="s">
        <v>105</v>
      </c>
      <c r="C32" s="80">
        <f>'Ventes-Charges-TVA'!C$27*1.2</f>
        <v>960</v>
      </c>
      <c r="D32" s="80">
        <f>'Ventes-Charges-TVA'!D$27*1.2</f>
        <v>960</v>
      </c>
      <c r="E32" s="80">
        <f>'Ventes-Charges-TVA'!E$27*1.2</f>
        <v>960</v>
      </c>
      <c r="F32" s="80">
        <f>'Ventes-Charges-TVA'!F$27*1.2</f>
        <v>960</v>
      </c>
      <c r="G32" s="80">
        <f>'Ventes-Charges-TVA'!G$27*1.2</f>
        <v>960</v>
      </c>
      <c r="H32" s="80">
        <f>'Ventes-Charges-TVA'!H$27*1.2</f>
        <v>960</v>
      </c>
      <c r="I32" s="80">
        <f>'Ventes-Charges-TVA'!I$27*1.2</f>
        <v>960</v>
      </c>
      <c r="J32" s="80">
        <f>'Ventes-Charges-TVA'!J$27*1.2</f>
        <v>960</v>
      </c>
      <c r="K32" s="80">
        <f>'Ventes-Charges-TVA'!K$27*1.2</f>
        <v>960</v>
      </c>
      <c r="L32" s="80">
        <f>'Ventes-Charges-TVA'!L$27*1.2</f>
        <v>960</v>
      </c>
      <c r="M32" s="80">
        <f>'Ventes-Charges-TVA'!M$27*1.2</f>
        <v>960</v>
      </c>
      <c r="N32" s="80">
        <f>'Ventes-Charges-TVA'!N$27*1.2</f>
        <v>960</v>
      </c>
      <c r="O32" s="151"/>
      <c r="P32" s="62"/>
      <c r="Q32" s="62"/>
      <c r="R32" s="62"/>
      <c r="S32" s="62"/>
      <c r="T32" s="62"/>
      <c r="U32" s="62"/>
      <c r="V32" s="62"/>
      <c r="W32" s="6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2:56" s="10" customFormat="1">
      <c r="B33" s="148" t="s">
        <v>104</v>
      </c>
      <c r="C33" s="80">
        <f>'Ventes-Charges-TVA'!C$28</f>
        <v>900</v>
      </c>
      <c r="D33" s="80">
        <f>'Ventes-Charges-TVA'!D$28</f>
        <v>900</v>
      </c>
      <c r="E33" s="80">
        <f>'Ventes-Charges-TVA'!E$28</f>
        <v>900</v>
      </c>
      <c r="F33" s="80">
        <f>'Ventes-Charges-TVA'!F$28</f>
        <v>900</v>
      </c>
      <c r="G33" s="80">
        <f>'Ventes-Charges-TVA'!G$28</f>
        <v>900</v>
      </c>
      <c r="H33" s="80">
        <f>'Ventes-Charges-TVA'!H$28</f>
        <v>900</v>
      </c>
      <c r="I33" s="80">
        <f>'Ventes-Charges-TVA'!I$28</f>
        <v>900</v>
      </c>
      <c r="J33" s="80">
        <f>'Ventes-Charges-TVA'!J$28</f>
        <v>900</v>
      </c>
      <c r="K33" s="80">
        <f>'Ventes-Charges-TVA'!K$28</f>
        <v>900</v>
      </c>
      <c r="L33" s="80">
        <f>'Ventes-Charges-TVA'!L$28</f>
        <v>900</v>
      </c>
      <c r="M33" s="80">
        <f>'Ventes-Charges-TVA'!M$28</f>
        <v>900</v>
      </c>
      <c r="N33" s="80">
        <f>'Ventes-Charges-TVA'!N$28</f>
        <v>900</v>
      </c>
      <c r="O33" s="78"/>
      <c r="P33" s="62"/>
      <c r="Q33" s="62"/>
      <c r="R33" s="62"/>
      <c r="S33" s="62"/>
      <c r="T33" s="62"/>
      <c r="U33" s="62"/>
      <c r="V33" s="62"/>
      <c r="W33" s="62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2:56" s="10" customFormat="1">
      <c r="B34" s="148" t="s">
        <v>110</v>
      </c>
      <c r="C34" s="80">
        <f>(2100+1800)*1.2</f>
        <v>4680</v>
      </c>
      <c r="D34" s="80">
        <f>24000*1.2</f>
        <v>28800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78"/>
      <c r="P34" s="62"/>
      <c r="Q34" s="62"/>
      <c r="R34" s="62"/>
      <c r="S34" s="62"/>
      <c r="T34" s="62"/>
      <c r="U34" s="62"/>
      <c r="V34" s="62"/>
      <c r="W34" s="62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2:56" s="10" customFormat="1">
      <c r="B35" s="148" t="s">
        <v>6</v>
      </c>
      <c r="C35" s="80"/>
      <c r="D35" s="80"/>
      <c r="E35" s="80">
        <f>'Ventes-Charges-TVA'!D$38</f>
        <v>2660</v>
      </c>
      <c r="F35" s="80">
        <f>'Ventes-Charges-TVA'!E$38</f>
        <v>4420</v>
      </c>
      <c r="G35" s="80">
        <f>'Ventes-Charges-TVA'!F$38</f>
        <v>7420</v>
      </c>
      <c r="H35" s="80">
        <f>'Ventes-Charges-TVA'!G$38</f>
        <v>7020</v>
      </c>
      <c r="I35" s="80">
        <f>'Ventes-Charges-TVA'!H$38</f>
        <v>7420</v>
      </c>
      <c r="J35" s="80">
        <f>'Ventes-Charges-TVA'!I$38</f>
        <v>7420</v>
      </c>
      <c r="K35" s="80">
        <f>'Ventes-Charges-TVA'!J$38</f>
        <v>4420</v>
      </c>
      <c r="L35" s="80">
        <f>'Ventes-Charges-TVA'!K$38</f>
        <v>9420</v>
      </c>
      <c r="M35" s="80">
        <f>'Ventes-Charges-TVA'!L$38</f>
        <v>9420</v>
      </c>
      <c r="N35" s="80">
        <f>'Ventes-Charges-TVA'!M$38</f>
        <v>13420</v>
      </c>
      <c r="O35" s="78">
        <f>'Ventes-Charges-TVA'!N$38</f>
        <v>13420</v>
      </c>
      <c r="P35" s="63"/>
      <c r="Q35" s="62"/>
      <c r="R35" s="62"/>
      <c r="S35" s="62"/>
      <c r="T35" s="62"/>
      <c r="U35" s="62"/>
      <c r="V35" s="62"/>
      <c r="W35" s="62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2:56">
      <c r="B36" s="68" t="s">
        <v>5</v>
      </c>
      <c r="C36" s="6">
        <f>SUM(C21:C35)</f>
        <v>29780</v>
      </c>
      <c r="D36" s="6">
        <f t="shared" ref="D36:N36" si="3">SUM(D21:D35)</f>
        <v>67300</v>
      </c>
      <c r="E36" s="6">
        <f t="shared" si="3"/>
        <v>37560</v>
      </c>
      <c r="F36" s="6">
        <f t="shared" si="3"/>
        <v>39320</v>
      </c>
      <c r="G36" s="6">
        <f t="shared" si="3"/>
        <v>44720</v>
      </c>
      <c r="H36" s="6">
        <f t="shared" si="3"/>
        <v>41920</v>
      </c>
      <c r="I36" s="6">
        <f t="shared" si="3"/>
        <v>42320</v>
      </c>
      <c r="J36" s="6">
        <f t="shared" si="3"/>
        <v>42320</v>
      </c>
      <c r="K36" s="6">
        <f t="shared" si="3"/>
        <v>39320</v>
      </c>
      <c r="L36" s="6">
        <f t="shared" si="3"/>
        <v>44320</v>
      </c>
      <c r="M36" s="6">
        <f t="shared" si="3"/>
        <v>44320</v>
      </c>
      <c r="N36" s="6">
        <f t="shared" si="3"/>
        <v>48320</v>
      </c>
      <c r="O36" s="74">
        <f>SUM(O21:O35)</f>
        <v>27220</v>
      </c>
      <c r="P36" s="63"/>
      <c r="Q36" s="63"/>
      <c r="R36" s="63"/>
      <c r="S36" s="63"/>
      <c r="T36" s="63"/>
      <c r="U36" s="63"/>
      <c r="V36" s="63"/>
      <c r="W36" s="63"/>
    </row>
    <row r="37" spans="2:56" ht="16.5" thickBot="1">
      <c r="B37" s="69" t="s">
        <v>11</v>
      </c>
      <c r="C37" s="75">
        <f>C36</f>
        <v>29780</v>
      </c>
      <c r="D37" s="75">
        <f>C37+D36</f>
        <v>97080</v>
      </c>
      <c r="E37" s="75">
        <f t="shared" ref="E37:O37" si="4">D37+E36</f>
        <v>134640</v>
      </c>
      <c r="F37" s="75">
        <f t="shared" si="4"/>
        <v>173960</v>
      </c>
      <c r="G37" s="75">
        <f t="shared" si="4"/>
        <v>218680</v>
      </c>
      <c r="H37" s="75">
        <f t="shared" si="4"/>
        <v>260600</v>
      </c>
      <c r="I37" s="75">
        <f t="shared" si="4"/>
        <v>302920</v>
      </c>
      <c r="J37" s="75">
        <f t="shared" si="4"/>
        <v>345240</v>
      </c>
      <c r="K37" s="75">
        <f t="shared" si="4"/>
        <v>384560</v>
      </c>
      <c r="L37" s="75">
        <f t="shared" si="4"/>
        <v>428880</v>
      </c>
      <c r="M37" s="75">
        <f t="shared" si="4"/>
        <v>473200</v>
      </c>
      <c r="N37" s="75">
        <f t="shared" si="4"/>
        <v>521520</v>
      </c>
      <c r="O37" s="76">
        <f t="shared" si="4"/>
        <v>548740</v>
      </c>
      <c r="P37" s="62"/>
      <c r="Q37" s="62"/>
      <c r="R37" s="62"/>
      <c r="S37" s="62"/>
      <c r="T37" s="62"/>
      <c r="U37" s="62"/>
      <c r="V37" s="62"/>
      <c r="W37" s="62"/>
    </row>
    <row r="44" spans="2:56">
      <c r="L44" s="66"/>
    </row>
  </sheetData>
  <sheetProtection sheet="1" objects="1" scenarios="1"/>
  <mergeCells count="2">
    <mergeCell ref="B19:O19"/>
    <mergeCell ref="B2:Q2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"/>
  <sheetViews>
    <sheetView showGridLines="0" zoomScaleNormal="100" workbookViewId="0">
      <selection activeCell="B2" sqref="B2:O2"/>
    </sheetView>
  </sheetViews>
  <sheetFormatPr baseColWidth="10" defaultRowHeight="15.75"/>
  <cols>
    <col min="1" max="1" width="3.7109375" style="5" customWidth="1"/>
    <col min="2" max="2" width="17.7109375" style="5" customWidth="1"/>
    <col min="3" max="15" width="10.7109375" style="5" customWidth="1"/>
    <col min="16" max="16384" width="11.42578125" style="5"/>
  </cols>
  <sheetData>
    <row r="1" spans="2:15" ht="16.5" thickBot="1"/>
    <row r="2" spans="2:15" ht="16.5" thickBot="1">
      <c r="B2" s="168" t="s">
        <v>141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2:15" s="1" customFormat="1" ht="16.5" thickBot="1">
      <c r="B3" s="94" t="s">
        <v>0</v>
      </c>
      <c r="C3" s="95" t="s">
        <v>13</v>
      </c>
      <c r="D3" s="95" t="s">
        <v>14</v>
      </c>
      <c r="E3" s="95" t="s">
        <v>15</v>
      </c>
      <c r="F3" s="95" t="s">
        <v>16</v>
      </c>
      <c r="G3" s="95" t="s">
        <v>17</v>
      </c>
      <c r="H3" s="96" t="s">
        <v>18</v>
      </c>
      <c r="I3" s="96" t="s">
        <v>19</v>
      </c>
      <c r="J3" s="96" t="s">
        <v>87</v>
      </c>
      <c r="K3" s="96" t="s">
        <v>88</v>
      </c>
      <c r="L3" s="96" t="s">
        <v>89</v>
      </c>
      <c r="M3" s="96" t="s">
        <v>90</v>
      </c>
      <c r="N3" s="96" t="s">
        <v>91</v>
      </c>
      <c r="O3" s="97" t="s">
        <v>42</v>
      </c>
    </row>
    <row r="4" spans="2:15" ht="20.100000000000001" customHeight="1">
      <c r="B4" s="85" t="s">
        <v>7</v>
      </c>
      <c r="C4" s="147">
        <v>40000</v>
      </c>
      <c r="D4" s="86">
        <f>C7</f>
        <v>22220</v>
      </c>
      <c r="E4" s="86">
        <f t="shared" ref="E4:N4" si="0">D7</f>
        <v>-21080</v>
      </c>
      <c r="F4" s="86">
        <f t="shared" si="0"/>
        <v>-28640</v>
      </c>
      <c r="G4" s="86">
        <f t="shared" si="0"/>
        <v>-30760</v>
      </c>
      <c r="H4" s="86">
        <f t="shared" si="0"/>
        <v>-31080</v>
      </c>
      <c r="I4" s="86">
        <f t="shared" si="0"/>
        <v>-25000</v>
      </c>
      <c r="J4" s="86">
        <f t="shared" si="0"/>
        <v>-19320</v>
      </c>
      <c r="K4" s="86">
        <f t="shared" si="0"/>
        <v>-20840</v>
      </c>
      <c r="L4" s="86">
        <f t="shared" si="0"/>
        <v>-14560</v>
      </c>
      <c r="M4" s="86">
        <f t="shared" si="0"/>
        <v>-4880</v>
      </c>
      <c r="N4" s="87">
        <f t="shared" si="0"/>
        <v>20400</v>
      </c>
      <c r="O4" s="88"/>
    </row>
    <row r="5" spans="2:15" ht="20.100000000000001" customHeight="1">
      <c r="B5" s="11" t="s">
        <v>8</v>
      </c>
      <c r="C5" s="77">
        <f>'Encaissements-Décaissements'!C$16</f>
        <v>12000</v>
      </c>
      <c r="D5" s="77">
        <f>'Encaissements-Décaissements'!D$16</f>
        <v>24000</v>
      </c>
      <c r="E5" s="77">
        <f>'Encaissements-Décaissements'!E$16</f>
        <v>30000</v>
      </c>
      <c r="F5" s="77">
        <f>'Encaissements-Décaissements'!F$16</f>
        <v>37200</v>
      </c>
      <c r="G5" s="77">
        <f>'Encaissements-Décaissements'!G$16</f>
        <v>44400</v>
      </c>
      <c r="H5" s="77">
        <f>'Encaissements-Décaissements'!H$16</f>
        <v>48000</v>
      </c>
      <c r="I5" s="77">
        <f>'Encaissements-Décaissements'!I$16</f>
        <v>48000</v>
      </c>
      <c r="J5" s="77">
        <f>'Encaissements-Décaissements'!J$16</f>
        <v>40800</v>
      </c>
      <c r="K5" s="77">
        <f>'Encaissements-Décaissements'!K$16</f>
        <v>45600</v>
      </c>
      <c r="L5" s="77">
        <f>'Encaissements-Décaissements'!L$16</f>
        <v>54000</v>
      </c>
      <c r="M5" s="77">
        <f>'Encaissements-Décaissements'!M$16</f>
        <v>69600</v>
      </c>
      <c r="N5" s="79">
        <f>'Encaissements-Décaissements'!N$16</f>
        <v>79200</v>
      </c>
      <c r="O5" s="78"/>
    </row>
    <row r="6" spans="2:15" ht="20.100000000000001" customHeight="1" thickBot="1">
      <c r="B6" s="81" t="s">
        <v>9</v>
      </c>
      <c r="C6" s="82">
        <f>'Encaissements-Décaissements'!C$36</f>
        <v>29780</v>
      </c>
      <c r="D6" s="82">
        <f>'Encaissements-Décaissements'!D$36</f>
        <v>67300</v>
      </c>
      <c r="E6" s="82">
        <f>'Encaissements-Décaissements'!E$36</f>
        <v>37560</v>
      </c>
      <c r="F6" s="82">
        <f>'Encaissements-Décaissements'!F$36</f>
        <v>39320</v>
      </c>
      <c r="G6" s="82">
        <f>'Encaissements-Décaissements'!G$36</f>
        <v>44720</v>
      </c>
      <c r="H6" s="82">
        <f>'Encaissements-Décaissements'!H$36</f>
        <v>41920</v>
      </c>
      <c r="I6" s="82">
        <f>'Encaissements-Décaissements'!I$36</f>
        <v>42320</v>
      </c>
      <c r="J6" s="82">
        <f>'Encaissements-Décaissements'!J$36</f>
        <v>42320</v>
      </c>
      <c r="K6" s="82">
        <f>'Encaissements-Décaissements'!K$36</f>
        <v>39320</v>
      </c>
      <c r="L6" s="82">
        <f>'Encaissements-Décaissements'!L$36</f>
        <v>44320</v>
      </c>
      <c r="M6" s="82">
        <f>'Encaissements-Décaissements'!M$36</f>
        <v>44320</v>
      </c>
      <c r="N6" s="84">
        <f>'Encaissements-Décaissements'!N$36</f>
        <v>48320</v>
      </c>
      <c r="O6" s="89"/>
    </row>
    <row r="7" spans="2:15" s="1" customFormat="1" ht="20.100000000000001" customHeight="1" thickBot="1">
      <c r="B7" s="90" t="s">
        <v>10</v>
      </c>
      <c r="C7" s="91">
        <f t="shared" ref="C7:N7" si="1">C4+C5-C6</f>
        <v>22220</v>
      </c>
      <c r="D7" s="91">
        <f t="shared" si="1"/>
        <v>-21080</v>
      </c>
      <c r="E7" s="91">
        <f t="shared" si="1"/>
        <v>-28640</v>
      </c>
      <c r="F7" s="91">
        <f t="shared" si="1"/>
        <v>-30760</v>
      </c>
      <c r="G7" s="91">
        <f t="shared" si="1"/>
        <v>-31080</v>
      </c>
      <c r="H7" s="91">
        <f t="shared" si="1"/>
        <v>-25000</v>
      </c>
      <c r="I7" s="91">
        <f t="shared" si="1"/>
        <v>-19320</v>
      </c>
      <c r="J7" s="91">
        <f t="shared" si="1"/>
        <v>-20840</v>
      </c>
      <c r="K7" s="91">
        <f t="shared" si="1"/>
        <v>-14560</v>
      </c>
      <c r="L7" s="91">
        <f t="shared" si="1"/>
        <v>-4880</v>
      </c>
      <c r="M7" s="91">
        <f t="shared" si="1"/>
        <v>20400</v>
      </c>
      <c r="N7" s="92">
        <f t="shared" si="1"/>
        <v>51280</v>
      </c>
      <c r="O7" s="93">
        <f>N7</f>
        <v>51280</v>
      </c>
    </row>
    <row r="8" spans="2:15">
      <c r="O8" s="83"/>
    </row>
  </sheetData>
  <sheetProtection sheet="1" objects="1" scenarios="1"/>
  <mergeCells count="1">
    <mergeCell ref="B2:O2"/>
  </mergeCells>
  <phoneticPr fontId="0" type="noConversion"/>
  <conditionalFormatting sqref="C7:N7">
    <cfRule type="cellIs" dxfId="5" priority="1" stopIfTrue="1" operator="lessThan">
      <formula>0</formula>
    </cfRule>
    <cfRule type="expression" dxfId="4" priority="2" stopIfTrue="1">
      <formula>"&lt;0"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5" customWidth="1"/>
    <col min="2" max="2" width="41.28515625" style="5" customWidth="1"/>
    <col min="3" max="3" width="13" style="101" customWidth="1"/>
    <col min="4" max="4" width="37.140625" style="5" customWidth="1"/>
    <col min="5" max="5" width="14.5703125" style="101" customWidth="1"/>
    <col min="6" max="16384" width="11.42578125" style="5"/>
  </cols>
  <sheetData>
    <row r="1" spans="2:5" ht="16.5" thickBot="1"/>
    <row r="2" spans="2:5" ht="16.899999999999999" customHeight="1" thickBot="1">
      <c r="B2" s="168" t="s">
        <v>142</v>
      </c>
      <c r="C2" s="169"/>
      <c r="D2" s="169"/>
      <c r="E2" s="170"/>
    </row>
    <row r="3" spans="2:5" ht="16.5" thickBot="1">
      <c r="B3" s="175" t="s">
        <v>35</v>
      </c>
      <c r="C3" s="176"/>
      <c r="D3" s="175" t="s">
        <v>36</v>
      </c>
      <c r="E3" s="176"/>
    </row>
    <row r="4" spans="2:5" ht="16.5" thickBot="1">
      <c r="B4" s="111" t="s">
        <v>66</v>
      </c>
      <c r="C4" s="102"/>
      <c r="D4" s="112" t="s">
        <v>67</v>
      </c>
      <c r="E4" s="102"/>
    </row>
    <row r="5" spans="2:5">
      <c r="B5" s="103" t="s">
        <v>68</v>
      </c>
      <c r="C5" s="104"/>
      <c r="D5" s="105" t="s">
        <v>72</v>
      </c>
      <c r="E5" s="104"/>
    </row>
    <row r="6" spans="2:5">
      <c r="B6" s="99" t="s">
        <v>69</v>
      </c>
      <c r="C6" s="104"/>
      <c r="D6" s="100" t="s">
        <v>85</v>
      </c>
      <c r="E6" s="104"/>
    </row>
    <row r="7" spans="2:5">
      <c r="B7" s="99" t="s">
        <v>48</v>
      </c>
      <c r="C7" s="108"/>
      <c r="D7" s="100" t="s">
        <v>37</v>
      </c>
      <c r="E7" s="108"/>
    </row>
    <row r="8" spans="2:5">
      <c r="B8" s="99" t="s">
        <v>51</v>
      </c>
      <c r="C8" s="108"/>
      <c r="D8" s="45" t="s">
        <v>86</v>
      </c>
      <c r="E8" s="108">
        <f>'Ventes-Charges-TVA'!O8</f>
        <v>500000</v>
      </c>
    </row>
    <row r="9" spans="2:5">
      <c r="B9" s="99" t="s">
        <v>70</v>
      </c>
      <c r="C9" s="108">
        <f>SUM('Ventes-Charges-TVA'!O20:O22)</f>
        <v>9000</v>
      </c>
      <c r="D9" s="100" t="s">
        <v>75</v>
      </c>
      <c r="E9" s="108"/>
    </row>
    <row r="10" spans="2:5">
      <c r="B10" s="99" t="s">
        <v>106</v>
      </c>
      <c r="C10" s="108">
        <f>SUM('Ventes-Charges-TVA'!O23:O28)</f>
        <v>45600</v>
      </c>
      <c r="D10" s="100"/>
      <c r="E10" s="108"/>
    </row>
    <row r="11" spans="2:5">
      <c r="B11" s="99" t="s">
        <v>107</v>
      </c>
      <c r="C11" s="108">
        <f>SUM('Ventes-Charges-TVA'!O16:O18)</f>
        <v>261600</v>
      </c>
      <c r="D11" s="100"/>
      <c r="E11" s="108"/>
    </row>
    <row r="12" spans="2:5">
      <c r="B12" s="99" t="s">
        <v>52</v>
      </c>
      <c r="C12" s="108">
        <f>'Ventes-Charges-TVA'!O19</f>
        <v>104640</v>
      </c>
      <c r="D12" s="100"/>
      <c r="E12" s="108"/>
    </row>
    <row r="13" spans="2:5">
      <c r="B13" s="99" t="s">
        <v>50</v>
      </c>
      <c r="C13" s="108"/>
      <c r="D13" s="100"/>
      <c r="E13" s="108"/>
    </row>
    <row r="14" spans="2:5">
      <c r="B14" s="99" t="s">
        <v>49</v>
      </c>
      <c r="C14" s="146">
        <f>(24000/4)+(2100/3)+(1800/3)</f>
        <v>7300</v>
      </c>
      <c r="D14" s="100"/>
      <c r="E14" s="108"/>
    </row>
    <row r="15" spans="2:5">
      <c r="B15" s="106" t="s">
        <v>71</v>
      </c>
      <c r="C15" s="108"/>
      <c r="D15" s="107" t="s">
        <v>78</v>
      </c>
      <c r="E15" s="108"/>
    </row>
    <row r="16" spans="2:5" ht="16.5" thickBot="1">
      <c r="B16" s="99" t="s">
        <v>29</v>
      </c>
      <c r="C16" s="108"/>
      <c r="D16" s="100" t="s">
        <v>73</v>
      </c>
      <c r="E16" s="108"/>
    </row>
    <row r="17" spans="2:5" ht="16.5" thickBot="1">
      <c r="B17" s="114" t="s">
        <v>76</v>
      </c>
      <c r="C17" s="104"/>
      <c r="D17" s="114" t="s">
        <v>77</v>
      </c>
      <c r="E17" s="108"/>
    </row>
    <row r="18" spans="2:5" ht="16.5" thickBot="1">
      <c r="B18" s="99" t="s">
        <v>38</v>
      </c>
      <c r="C18" s="113"/>
      <c r="D18" s="100" t="s">
        <v>74</v>
      </c>
      <c r="E18" s="108"/>
    </row>
    <row r="19" spans="2:5" ht="16.5" thickBot="1">
      <c r="B19" s="115" t="s">
        <v>30</v>
      </c>
      <c r="C19" s="98">
        <f>SUM(C5:C18)</f>
        <v>428140</v>
      </c>
      <c r="D19" s="116" t="s">
        <v>31</v>
      </c>
      <c r="E19" s="98">
        <f>SUM(E5:E18)</f>
        <v>500000</v>
      </c>
    </row>
    <row r="20" spans="2:5" ht="16.5" thickBot="1">
      <c r="B20" s="109" t="s">
        <v>54</v>
      </c>
      <c r="C20" s="117">
        <f>IF(E19&gt;C19,E19-C19,0)</f>
        <v>71860</v>
      </c>
      <c r="D20" s="110" t="s">
        <v>56</v>
      </c>
      <c r="E20" s="117">
        <f>IF(C19&gt;E19,C19-E19,0)</f>
        <v>0</v>
      </c>
    </row>
    <row r="21" spans="2:5" ht="16.5" thickBot="1">
      <c r="B21" s="115" t="s">
        <v>32</v>
      </c>
      <c r="C21" s="98">
        <f>C19+C20</f>
        <v>500000</v>
      </c>
      <c r="D21" s="116" t="s">
        <v>32</v>
      </c>
      <c r="E21" s="98">
        <f>E19+E20</f>
        <v>500000</v>
      </c>
    </row>
  </sheetData>
  <sheetProtection sheet="1" objects="1" scenarios="1"/>
  <mergeCells count="3">
    <mergeCell ref="B2:E2"/>
    <mergeCell ref="B3:C3"/>
    <mergeCell ref="D3:E3"/>
  </mergeCells>
  <phoneticPr fontId="0" type="noConversion"/>
  <conditionalFormatting sqref="E20">
    <cfRule type="cellIs" dxfId="3" priority="2" stopIfTrue="1" operator="greaterThan">
      <formula>0</formula>
    </cfRule>
  </conditionalFormatting>
  <conditionalFormatting sqref="C20">
    <cfRule type="cellIs" dxfId="2" priority="1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showGridLines="0" showZeros="0" workbookViewId="0">
      <selection activeCell="B2" sqref="B2:G2"/>
    </sheetView>
  </sheetViews>
  <sheetFormatPr baseColWidth="10" defaultRowHeight="15.75" customHeight="1"/>
  <cols>
    <col min="1" max="1" width="3.7109375" style="5" customWidth="1"/>
    <col min="2" max="2" width="32.5703125" style="5" customWidth="1"/>
    <col min="3" max="5" width="17.28515625" style="101" customWidth="1"/>
    <col min="6" max="6" width="43.5703125" style="5" customWidth="1"/>
    <col min="7" max="7" width="17.140625" style="101" customWidth="1"/>
    <col min="8" max="16384" width="11.42578125" style="5"/>
  </cols>
  <sheetData>
    <row r="1" spans="2:9" ht="15.75" customHeight="1" thickBot="1">
      <c r="D1" s="138"/>
      <c r="E1" s="138"/>
      <c r="F1" s="3"/>
    </row>
    <row r="2" spans="2:9" ht="15.75" customHeight="1" thickBot="1">
      <c r="B2" s="172" t="s">
        <v>143</v>
      </c>
      <c r="C2" s="173"/>
      <c r="D2" s="173"/>
      <c r="E2" s="173"/>
      <c r="F2" s="173"/>
      <c r="G2" s="174"/>
    </row>
    <row r="3" spans="2:9" ht="15.75" customHeight="1" thickBot="1">
      <c r="B3" s="125" t="s">
        <v>33</v>
      </c>
      <c r="C3" s="126" t="s">
        <v>43</v>
      </c>
      <c r="D3" s="126" t="s">
        <v>112</v>
      </c>
      <c r="E3" s="126" t="s">
        <v>44</v>
      </c>
      <c r="F3" s="127" t="s">
        <v>34</v>
      </c>
      <c r="G3" s="126" t="s">
        <v>84</v>
      </c>
    </row>
    <row r="4" spans="2:9" s="10" customFormat="1" ht="15.75" customHeight="1">
      <c r="B4" s="141" t="s">
        <v>53</v>
      </c>
      <c r="C4" s="142"/>
      <c r="D4" s="142"/>
      <c r="E4" s="142"/>
      <c r="F4" s="143" t="s">
        <v>22</v>
      </c>
      <c r="G4" s="144"/>
    </row>
    <row r="5" spans="2:9" s="10" customFormat="1" ht="15.75" customHeight="1">
      <c r="B5" s="123" t="s">
        <v>20</v>
      </c>
      <c r="C5" s="136">
        <v>1800</v>
      </c>
      <c r="D5" s="136">
        <v>600</v>
      </c>
      <c r="E5" s="136">
        <f>C5-D5</f>
        <v>1200</v>
      </c>
      <c r="F5" s="123" t="s">
        <v>23</v>
      </c>
      <c r="G5" s="136">
        <v>40000</v>
      </c>
    </row>
    <row r="6" spans="2:9" s="10" customFormat="1" ht="15.75" customHeight="1">
      <c r="B6" s="123" t="s">
        <v>21</v>
      </c>
      <c r="C6" s="136">
        <v>26100</v>
      </c>
      <c r="D6" s="136">
        <f>(24000/4+2100/3)</f>
        <v>6700</v>
      </c>
      <c r="E6" s="136">
        <f>C6-D6</f>
        <v>19400</v>
      </c>
      <c r="F6" s="123" t="s">
        <v>24</v>
      </c>
      <c r="G6" s="136"/>
    </row>
    <row r="7" spans="2:9" s="10" customFormat="1" ht="15.75" customHeight="1" thickBot="1">
      <c r="B7" s="123" t="s">
        <v>63</v>
      </c>
      <c r="C7" s="145"/>
      <c r="D7" s="145"/>
      <c r="E7" s="136">
        <f>C7-D7</f>
        <v>0</v>
      </c>
      <c r="F7" s="123" t="s">
        <v>79</v>
      </c>
      <c r="G7" s="136"/>
    </row>
    <row r="8" spans="2:9" ht="15.75" customHeight="1" thickBot="1">
      <c r="B8" s="129" t="s">
        <v>5</v>
      </c>
      <c r="C8" s="118">
        <f>SUM(C5:C7)</f>
        <v>27900</v>
      </c>
      <c r="D8" s="118">
        <f>SUM(D5:D7)</f>
        <v>7300</v>
      </c>
      <c r="E8" s="118">
        <f>SUM(E5:E7)</f>
        <v>20600</v>
      </c>
      <c r="F8" s="135" t="s">
        <v>111</v>
      </c>
      <c r="G8" s="132">
        <f>E19-G5-G17</f>
        <v>71860</v>
      </c>
      <c r="I8" s="66"/>
    </row>
    <row r="9" spans="2:9" ht="15.75" customHeight="1" thickBot="1">
      <c r="B9" s="122"/>
      <c r="C9" s="124"/>
      <c r="D9" s="124"/>
      <c r="E9" s="124"/>
      <c r="F9" s="129" t="s">
        <v>55</v>
      </c>
      <c r="G9" s="118">
        <f>G5+G8</f>
        <v>111860</v>
      </c>
    </row>
    <row r="10" spans="2:9" ht="15.75" customHeight="1">
      <c r="B10" s="128" t="s">
        <v>26</v>
      </c>
      <c r="C10" s="124"/>
      <c r="D10" s="124"/>
      <c r="E10" s="124"/>
      <c r="F10" s="128" t="s">
        <v>25</v>
      </c>
      <c r="G10" s="139"/>
    </row>
    <row r="11" spans="2:9" ht="15.75" customHeight="1">
      <c r="B11" s="122" t="s">
        <v>47</v>
      </c>
      <c r="C11" s="136"/>
      <c r="D11" s="136"/>
      <c r="E11" s="124">
        <f t="shared" ref="E11:E17" si="0">C11-D11</f>
        <v>0</v>
      </c>
      <c r="F11" s="122" t="s">
        <v>28</v>
      </c>
      <c r="G11" s="124"/>
    </row>
    <row r="12" spans="2:9" ht="15.75" customHeight="1">
      <c r="B12" s="122" t="s">
        <v>60</v>
      </c>
      <c r="C12" s="136"/>
      <c r="D12" s="136"/>
      <c r="E12" s="124">
        <f t="shared" si="0"/>
        <v>0</v>
      </c>
      <c r="F12" s="122" t="s">
        <v>64</v>
      </c>
      <c r="G12" s="124"/>
    </row>
    <row r="13" spans="2:9" ht="15.75" customHeight="1">
      <c r="B13" s="122" t="s">
        <v>61</v>
      </c>
      <c r="C13" s="136"/>
      <c r="D13" s="136"/>
      <c r="E13" s="124">
        <f t="shared" si="0"/>
        <v>0</v>
      </c>
      <c r="F13" s="122" t="s">
        <v>82</v>
      </c>
      <c r="G13" s="124">
        <f>SUM('Encaissements-Décaissements'!O29:O31)</f>
        <v>720</v>
      </c>
    </row>
    <row r="14" spans="2:9" ht="15.75" customHeight="1">
      <c r="B14" s="122" t="s">
        <v>81</v>
      </c>
      <c r="C14" s="136">
        <f>'Encaissements-Décaissements'!O16+'Encaissements-Décaissements'!P16</f>
        <v>67200</v>
      </c>
      <c r="D14" s="136"/>
      <c r="E14" s="124">
        <f t="shared" si="0"/>
        <v>67200</v>
      </c>
      <c r="F14" s="122" t="s">
        <v>83</v>
      </c>
      <c r="G14" s="124">
        <f>'Encaissements-Décaissements'!O24+'Encaissements-Décaissements'!O35</f>
        <v>26500</v>
      </c>
    </row>
    <row r="15" spans="2:9" ht="15.75" customHeight="1">
      <c r="B15" s="123" t="s">
        <v>80</v>
      </c>
      <c r="C15" s="137"/>
      <c r="D15" s="137"/>
      <c r="E15" s="124">
        <f t="shared" si="0"/>
        <v>0</v>
      </c>
      <c r="F15" s="122" t="s">
        <v>45</v>
      </c>
      <c r="G15" s="124"/>
    </row>
    <row r="16" spans="2:9" ht="15.75" customHeight="1" thickBot="1">
      <c r="B16" s="123" t="s">
        <v>62</v>
      </c>
      <c r="C16" s="137"/>
      <c r="D16" s="137"/>
      <c r="E16" s="124">
        <f t="shared" si="0"/>
        <v>0</v>
      </c>
      <c r="F16" s="122" t="s">
        <v>46</v>
      </c>
      <c r="G16" s="124"/>
    </row>
    <row r="17" spans="2:7" ht="15.75" customHeight="1" thickBot="1">
      <c r="B17" s="122" t="s">
        <v>27</v>
      </c>
      <c r="C17" s="137">
        <f>Trésorerie!O7</f>
        <v>51280</v>
      </c>
      <c r="D17" s="137"/>
      <c r="E17" s="124">
        <f t="shared" si="0"/>
        <v>51280</v>
      </c>
      <c r="F17" s="130" t="s">
        <v>32</v>
      </c>
      <c r="G17" s="119">
        <f>G13+G14</f>
        <v>27220</v>
      </c>
    </row>
    <row r="18" spans="2:7" ht="15.75" customHeight="1" thickBot="1">
      <c r="B18" s="129" t="s">
        <v>5</v>
      </c>
      <c r="C18" s="120">
        <f>SUM(C11:C17)</f>
        <v>118480</v>
      </c>
      <c r="D18" s="120">
        <f>SUM(D11:D17)</f>
        <v>0</v>
      </c>
      <c r="E18" s="120">
        <f>SUM(E11:E17)</f>
        <v>118480</v>
      </c>
      <c r="F18" s="4" t="s">
        <v>65</v>
      </c>
      <c r="G18" s="124"/>
    </row>
    <row r="19" spans="2:7" ht="15.75" customHeight="1" thickBot="1">
      <c r="B19" s="133" t="s">
        <v>41</v>
      </c>
      <c r="C19" s="131">
        <f>SUM(C8+C18)</f>
        <v>146380</v>
      </c>
      <c r="D19" s="131">
        <f>SUM(D8+D18)</f>
        <v>7300</v>
      </c>
      <c r="E19" s="131">
        <f>SUM(E8+E18)</f>
        <v>139080</v>
      </c>
      <c r="F19" s="134" t="s">
        <v>41</v>
      </c>
      <c r="G19" s="120">
        <f>E19</f>
        <v>139080</v>
      </c>
    </row>
    <row r="20" spans="2:7" ht="15.75" customHeight="1">
      <c r="B20" s="121"/>
      <c r="C20" s="140"/>
      <c r="D20" s="140"/>
      <c r="E20" s="140"/>
      <c r="F20" s="121"/>
      <c r="G20" s="140"/>
    </row>
    <row r="21" spans="2:7" ht="15.75" customHeight="1" thickBot="1">
      <c r="B21" s="121"/>
      <c r="C21" s="140"/>
      <c r="D21" s="140"/>
      <c r="E21" s="140"/>
      <c r="F21" s="121"/>
      <c r="G21" s="140"/>
    </row>
    <row r="22" spans="2:7" ht="15.75" customHeight="1" thickBot="1">
      <c r="B22" s="172" t="s">
        <v>144</v>
      </c>
      <c r="C22" s="173"/>
      <c r="D22" s="173"/>
      <c r="E22" s="173"/>
      <c r="F22" s="173"/>
      <c r="G22" s="174"/>
    </row>
    <row r="23" spans="2:7" ht="15.75" customHeight="1">
      <c r="B23" s="186" t="s">
        <v>113</v>
      </c>
      <c r="C23" s="187"/>
      <c r="D23" s="187"/>
      <c r="E23" s="187"/>
      <c r="F23" s="187"/>
      <c r="G23" s="188"/>
    </row>
    <row r="24" spans="2:7" ht="15.75" customHeight="1">
      <c r="B24" s="180" t="s">
        <v>121</v>
      </c>
      <c r="C24" s="181"/>
      <c r="D24" s="181"/>
      <c r="E24" s="181"/>
      <c r="F24" s="181"/>
      <c r="G24" s="182"/>
    </row>
    <row r="25" spans="2:7" ht="15.75" customHeight="1">
      <c r="B25" s="180" t="s">
        <v>120</v>
      </c>
      <c r="C25" s="181"/>
      <c r="D25" s="181"/>
      <c r="E25" s="181"/>
      <c r="F25" s="181"/>
      <c r="G25" s="182"/>
    </row>
    <row r="26" spans="2:7" ht="15.75" customHeight="1">
      <c r="B26" s="180" t="s">
        <v>118</v>
      </c>
      <c r="C26" s="181"/>
      <c r="D26" s="181"/>
      <c r="E26" s="181"/>
      <c r="F26" s="181"/>
      <c r="G26" s="182"/>
    </row>
    <row r="27" spans="2:7" ht="15.75" customHeight="1">
      <c r="B27" s="180" t="s">
        <v>116</v>
      </c>
      <c r="C27" s="181"/>
      <c r="D27" s="181"/>
      <c r="E27" s="181"/>
      <c r="F27" s="181"/>
      <c r="G27" s="182"/>
    </row>
    <row r="28" spans="2:7" ht="15.75" customHeight="1">
      <c r="B28" s="177" t="s">
        <v>117</v>
      </c>
      <c r="C28" s="178"/>
      <c r="D28" s="178"/>
      <c r="E28" s="178"/>
      <c r="F28" s="178"/>
      <c r="G28" s="179"/>
    </row>
    <row r="29" spans="2:7" ht="15.75" customHeight="1" thickBot="1">
      <c r="B29" s="183" t="s">
        <v>119</v>
      </c>
      <c r="C29" s="184"/>
      <c r="D29" s="184"/>
      <c r="E29" s="184"/>
      <c r="F29" s="184"/>
      <c r="G29" s="185"/>
    </row>
  </sheetData>
  <sheetProtection sheet="1" objects="1" scenarios="1"/>
  <mergeCells count="9">
    <mergeCell ref="B28:G28"/>
    <mergeCell ref="B25:G25"/>
    <mergeCell ref="B29:G29"/>
    <mergeCell ref="B2:G2"/>
    <mergeCell ref="B23:G23"/>
    <mergeCell ref="B24:G24"/>
    <mergeCell ref="B26:G26"/>
    <mergeCell ref="B27:G27"/>
    <mergeCell ref="B22:G22"/>
  </mergeCells>
  <phoneticPr fontId="0" type="noConversion"/>
  <conditionalFormatting sqref="G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Ventes-Charges-TVA</vt:lpstr>
      <vt:lpstr>Encaissements-Décaissements</vt:lpstr>
      <vt:lpstr>Trésorerie</vt:lpstr>
      <vt:lpstr>Résultat</vt:lpstr>
      <vt:lpstr> Bilan </vt:lpstr>
      <vt:lpstr>CA_Annuel</vt:lpstr>
      <vt:lpstr>qte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</dc:subject>
  <dc:creator>Daniel ANTRAIGUE</dc:creator>
  <dc:description>Fichier contenant plusieurs feuilles nécessaires pour budgets et documents de synthèse prévisionnels</dc:description>
  <cp:lastModifiedBy>technicien</cp:lastModifiedBy>
  <cp:lastPrinted>2013-01-15T17:48:51Z</cp:lastPrinted>
  <dcterms:created xsi:type="dcterms:W3CDTF">2004-05-13T05:59:05Z</dcterms:created>
  <dcterms:modified xsi:type="dcterms:W3CDTF">2015-06-14T08:47:13Z</dcterms:modified>
  <cp:category>Semestre 4</cp:category>
</cp:coreProperties>
</file>