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80" windowHeight="4245" firstSheet="2" activeTab="6"/>
  </bookViews>
  <sheets>
    <sheet name="Balance" sheetId="1" r:id="rId1"/>
    <sheet name="Tableau de résultat" sheetId="2" r:id="rId2"/>
    <sheet name="SIG" sheetId="3" r:id="rId3"/>
    <sheet name="CAF" sheetId="4" r:id="rId4"/>
    <sheet name="Variation BFRE" sheetId="5" r:id="rId5"/>
    <sheet name="Variat. Trésorerie Exploitation" sheetId="6" r:id="rId6"/>
    <sheet name="Variation FRNG" sheetId="7" r:id="rId7"/>
    <sheet name="Variations de trésorerie" sheetId="8" r:id="rId8"/>
    <sheet name="Excédent sur Opération" sheetId="9" r:id="rId9"/>
    <sheet name="Commentaire-Synthèse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<sst xmlns="http://schemas.openxmlformats.org/spreadsheetml/2006/main" count="331" uniqueCount="248">
  <si>
    <t>Valeur ajoutée</t>
  </si>
  <si>
    <t>Charges de personnel</t>
  </si>
  <si>
    <t>N</t>
  </si>
  <si>
    <t>N-1</t>
  </si>
  <si>
    <t>Variation</t>
  </si>
  <si>
    <t>EBE</t>
  </si>
  <si>
    <t>Créances clients au début de l'exercice</t>
  </si>
  <si>
    <t>Créances clients en fin de période</t>
  </si>
  <si>
    <t>Dettes d'exploitation au début de l'exercice</t>
  </si>
  <si>
    <t>Charges de personnel décaissées</t>
  </si>
  <si>
    <t>TVA décaissée = TVA Collectée - TVA déductible</t>
  </si>
  <si>
    <t>Dettes d'exploitation à la fin de l'exercice</t>
  </si>
  <si>
    <t>Créances diverses</t>
  </si>
  <si>
    <t>Dettes diverses</t>
  </si>
  <si>
    <t>Charges financières</t>
  </si>
  <si>
    <t>Impôts sur bénéfices</t>
  </si>
  <si>
    <t>CAF</t>
  </si>
  <si>
    <t>Augmentation du capital</t>
  </si>
  <si>
    <t>Remboursement des emprunts</t>
  </si>
  <si>
    <t>Trésorerie Active</t>
  </si>
  <si>
    <t>Trésorerie Passive</t>
  </si>
  <si>
    <t>Variation BFRHE</t>
  </si>
  <si>
    <t>Augmentation de capital</t>
  </si>
  <si>
    <t>Remboursement d'emprunts</t>
  </si>
  <si>
    <t>Flux nets de trésorerie opérations de financement</t>
  </si>
  <si>
    <t>Flux nets de trésorerie opérations d'investissement</t>
  </si>
  <si>
    <t>TN = TA - TP</t>
  </si>
  <si>
    <t>Capital</t>
  </si>
  <si>
    <t>Résultat</t>
  </si>
  <si>
    <t>Emprunts</t>
  </si>
  <si>
    <t>(CBC)</t>
  </si>
  <si>
    <t>Totaux</t>
  </si>
  <si>
    <t>Immobilisations</t>
  </si>
  <si>
    <t xml:space="preserve">Intitulés comptes </t>
  </si>
  <si>
    <t>Soldes DEBITEURS</t>
  </si>
  <si>
    <t>Soldes CREDITEURS</t>
  </si>
  <si>
    <t>Charges</t>
  </si>
  <si>
    <t>Montants</t>
  </si>
  <si>
    <t>Produits</t>
  </si>
  <si>
    <t>Charges externes</t>
  </si>
  <si>
    <t>Salaires</t>
  </si>
  <si>
    <t>Subventions d'exploitation</t>
  </si>
  <si>
    <t>Autres charges</t>
  </si>
  <si>
    <t xml:space="preserve">Autres produits </t>
  </si>
  <si>
    <t>Total I</t>
  </si>
  <si>
    <t>CHARGES FINANCIERES</t>
  </si>
  <si>
    <t>PRODUITS FINANCIERS</t>
  </si>
  <si>
    <t>Autres revenus</t>
  </si>
  <si>
    <t>Total II</t>
  </si>
  <si>
    <t>CHARGES EXCEPTIONNELLES</t>
  </si>
  <si>
    <t>PRODUITS EXCEPTIONNELS</t>
  </si>
  <si>
    <t>Total III</t>
  </si>
  <si>
    <t>Participation aux bénéfices</t>
  </si>
  <si>
    <t>Total Charges</t>
  </si>
  <si>
    <t>Total Produits</t>
  </si>
  <si>
    <t>Résultat de l'exercice : Bénéfice</t>
  </si>
  <si>
    <t>Résultat de l'exercice : Perte</t>
  </si>
  <si>
    <t>Total général</t>
  </si>
  <si>
    <t>PRODUITS</t>
  </si>
  <si>
    <t>CHARGES</t>
  </si>
  <si>
    <t>Ventes de marchandises</t>
  </si>
  <si>
    <t>Coût d'achat des marchandises vendues</t>
  </si>
  <si>
    <t>Marge commerciale</t>
  </si>
  <si>
    <t>Production Vendue</t>
  </si>
  <si>
    <t>Production Stockée</t>
  </si>
  <si>
    <t>Déstockage de production</t>
  </si>
  <si>
    <t>Production Immobilisée</t>
  </si>
  <si>
    <t>Production de l'exercice</t>
  </si>
  <si>
    <t>Impôts, taxes et versements assimilés</t>
  </si>
  <si>
    <t>Excédent brut d'exploitation</t>
  </si>
  <si>
    <t>Insuffisance brute d'exploitation</t>
  </si>
  <si>
    <t>Autres produits</t>
  </si>
  <si>
    <t>Résultat d'exploitation</t>
  </si>
  <si>
    <t>Résultat d'exploitation +</t>
  </si>
  <si>
    <t>Résultat d'exploitation -</t>
  </si>
  <si>
    <t>Produits financiers</t>
  </si>
  <si>
    <t>Produits exceptionnels</t>
  </si>
  <si>
    <t>Charges exceptionnelles</t>
  </si>
  <si>
    <t>Résultat exceptionnel</t>
  </si>
  <si>
    <t>Résultat courant avant impôts</t>
  </si>
  <si>
    <t>Résultat courant avant impôts -</t>
  </si>
  <si>
    <t>Résultat exceptionnel +</t>
  </si>
  <si>
    <t>Résultat exceptionnel -</t>
  </si>
  <si>
    <t>Participation des salariés</t>
  </si>
  <si>
    <t>Impôts sur les bénéfices</t>
  </si>
  <si>
    <t>Résultat de l'exercice</t>
  </si>
  <si>
    <t>Réserve légale</t>
  </si>
  <si>
    <t>Soldes au 31/12/N-1</t>
  </si>
  <si>
    <t>Soldes au 31/12/N</t>
  </si>
  <si>
    <t>Autres réserves</t>
  </si>
  <si>
    <t>Matériel industriel</t>
  </si>
  <si>
    <t>Matériel de transport</t>
  </si>
  <si>
    <t>Mobilier</t>
  </si>
  <si>
    <t>Fournisseurs</t>
  </si>
  <si>
    <t>Clients</t>
  </si>
  <si>
    <t>Sécurité Sociale</t>
  </si>
  <si>
    <t>Banque</t>
  </si>
  <si>
    <t>Services extérieurs</t>
  </si>
  <si>
    <t>Ventes de produits finis</t>
  </si>
  <si>
    <t>en -</t>
  </si>
  <si>
    <t>en +</t>
  </si>
  <si>
    <t>RESULTAT</t>
  </si>
  <si>
    <t>Créances clients</t>
  </si>
  <si>
    <t>Fournisseurs d'ABS</t>
  </si>
  <si>
    <t>Dettes sociales</t>
  </si>
  <si>
    <t>Dettes fiscales</t>
  </si>
  <si>
    <t>Variations</t>
  </si>
  <si>
    <t>Acquisitions</t>
  </si>
  <si>
    <t>Dividendes</t>
  </si>
  <si>
    <t>Augmentation capital</t>
  </si>
  <si>
    <t>Cessions</t>
  </si>
  <si>
    <t xml:space="preserve"> Variation BFRE</t>
  </si>
  <si>
    <t>ESO = CAF - Variation BFR</t>
  </si>
  <si>
    <t>Achats de marchandises</t>
  </si>
  <si>
    <t>Charges sociales</t>
  </si>
  <si>
    <t>Ventes marchandises</t>
  </si>
  <si>
    <t>Production vendue</t>
  </si>
  <si>
    <t>Production stockée</t>
  </si>
  <si>
    <t>Production immobilisée</t>
  </si>
  <si>
    <t>Dotations financières</t>
  </si>
  <si>
    <t>Intérêts et charges assimilées</t>
  </si>
  <si>
    <t>Différences négatives de change</t>
  </si>
  <si>
    <t>Charges nettes sur cessions VMP</t>
  </si>
  <si>
    <t>Produits de participation</t>
  </si>
  <si>
    <t>Autres intérêts et produits assimilés</t>
  </si>
  <si>
    <t>Différences positives de change</t>
  </si>
  <si>
    <t>Produits nets sur cessions VMP</t>
  </si>
  <si>
    <t>Dotations amortissements et provisions</t>
  </si>
  <si>
    <t>SARL LA BREE - Balances après inventaire</t>
  </si>
  <si>
    <t xml:space="preserve">N° comptes </t>
  </si>
  <si>
    <t>Achats de matières premières</t>
  </si>
  <si>
    <t>Résultat de l'exercice (bénéfice)</t>
  </si>
  <si>
    <t>Emprunts établissements de crédit</t>
  </si>
  <si>
    <t>Matériel de bureau et informatique</t>
  </si>
  <si>
    <t>Amortissements du matériel industriel</t>
  </si>
  <si>
    <t>Amortissements du matériel transport</t>
  </si>
  <si>
    <t>Amortissements du matériel de bureau</t>
  </si>
  <si>
    <t>Amortissements du mobilier</t>
  </si>
  <si>
    <t>Stocks de matières premières</t>
  </si>
  <si>
    <t>Etat - Impôts sur les bénéfices</t>
  </si>
  <si>
    <t>Etat - TVA à décaisser</t>
  </si>
  <si>
    <r>
      <t>Variations des stocks de matières 1</t>
    </r>
    <r>
      <rPr>
        <vertAlign val="superscript"/>
        <sz val="12"/>
        <rFont val="Times New Roman"/>
        <family val="1"/>
      </rPr>
      <t>ères</t>
    </r>
  </si>
  <si>
    <t>Valeurs comptable des actifs cédés</t>
  </si>
  <si>
    <t>Dotations aux amortissements</t>
  </si>
  <si>
    <t>Produits des cessions d'actifs</t>
  </si>
  <si>
    <t>CHARGES D'EXPLOITATION</t>
  </si>
  <si>
    <t>PRODUITS D'EXPLOITATION</t>
  </si>
  <si>
    <t>Achats matières premières</t>
  </si>
  <si>
    <t>Variations des stocks de marchandises</t>
  </si>
  <si>
    <t>Impôts et taxes</t>
  </si>
  <si>
    <t>Dotations auxprovisions</t>
  </si>
  <si>
    <t>Reprises sur amortissements, dépréciations et provisions et transferts de charges d'exploitation</t>
  </si>
  <si>
    <t>Reprises sur dépréciation et provisions, transferts de charges financières</t>
  </si>
  <si>
    <t>Charges exceptionnelles / opé. de gestion</t>
  </si>
  <si>
    <t>Charges exceptionnelles / opé. en capital</t>
  </si>
  <si>
    <t>Produits exceptionnels / opé. de gestion</t>
  </si>
  <si>
    <t>Produits exceptionnels / opé. en capital</t>
  </si>
  <si>
    <t>Reprises sur dépréciation et provisions, transferts de charges exceptionnelles</t>
  </si>
  <si>
    <t>Quote-parts subventions d'investissements</t>
  </si>
  <si>
    <t>SARL LA BREE - Tableau des Soldes Intermédiaires de Gestion au 31/12/N</t>
  </si>
  <si>
    <t>Soldes Intermédiaires de Gestion</t>
  </si>
  <si>
    <t>Total</t>
  </si>
  <si>
    <t>Consommation de l'exercice en provenance de tiers</t>
  </si>
  <si>
    <t>Produits des cessions d'éléments d'actif</t>
  </si>
  <si>
    <t>Plus values ou moins values sur cessions</t>
  </si>
  <si>
    <t>Valeurs comptables des éléments d'actif cédés</t>
  </si>
  <si>
    <t>Quotes-parts de résultat sur opérations faites en commun</t>
  </si>
  <si>
    <t>Reprises sur provisions et transferts de charges</t>
  </si>
  <si>
    <t>Dotations aux amortissements, dépréciations et provisions</t>
  </si>
  <si>
    <t xml:space="preserve">Excédent (ou insuffisance) brut(e) d'exploitation </t>
  </si>
  <si>
    <t>Excédent ou insuffisance brut(e) d'exploitation</t>
  </si>
  <si>
    <t>SARL LA BREE - Capacité d'autofinancement de l'exercice</t>
  </si>
  <si>
    <t>Méthode soustractive ou descendante</t>
  </si>
  <si>
    <t>Transferts de charges d'exploitation</t>
  </si>
  <si>
    <t>Quote-parts sur opérations faites en commun</t>
  </si>
  <si>
    <t>Produits de participations</t>
  </si>
  <si>
    <t>Autres valeurs mobilières</t>
  </si>
  <si>
    <t>Autres intérêts</t>
  </si>
  <si>
    <t>Transferts de charges financières</t>
  </si>
  <si>
    <t>Produits nets sur cessions de VMP</t>
  </si>
  <si>
    <t>Produits exceptionnels sur opérations de gestion</t>
  </si>
  <si>
    <t>Autres opérations en capital</t>
  </si>
  <si>
    <t>Autres produits exceptionnels</t>
  </si>
  <si>
    <t>Transferts de charges exceptionnelles</t>
  </si>
  <si>
    <t>Total produits encaissés</t>
  </si>
  <si>
    <t>Autres produits d'exploitation</t>
  </si>
  <si>
    <t>Autres charges d'exploitation</t>
  </si>
  <si>
    <t>Charges nettes sur cessions de VMP</t>
  </si>
  <si>
    <t>Charges exceptionnelles sur opérations de gestion</t>
  </si>
  <si>
    <t>Autres charges exceptionnelles</t>
  </si>
  <si>
    <t>Autres charges sur opérations en capital</t>
  </si>
  <si>
    <t>Total charges décaissées</t>
  </si>
  <si>
    <t>Capacité d'autofinancement</t>
  </si>
  <si>
    <t>Méthode additive ou ascendante</t>
  </si>
  <si>
    <t>Dotations d'exploitation</t>
  </si>
  <si>
    <t>Dotations exceptionnelles</t>
  </si>
  <si>
    <t>Reprises d'exploitation</t>
  </si>
  <si>
    <t>Reprises financières</t>
  </si>
  <si>
    <t>Reprises exceptionnelles</t>
  </si>
  <si>
    <t>Quote-part des subventions d'investissement virée au résultat</t>
  </si>
  <si>
    <t>SARL LA BREE - Variation du Besoin en Fonds de Roulement d'Exploitation</t>
  </si>
  <si>
    <t>Eléments</t>
  </si>
  <si>
    <t>SARL LA BREE - Tableau de résultat au 31/12/N</t>
  </si>
  <si>
    <t>SARL LA BREE - Variation de la trésorerie d'exploitation</t>
  </si>
  <si>
    <t>Calcul de l'Excédent de Trésorerie d'Exploitation (ETE) (Solution 1)</t>
  </si>
  <si>
    <t>Vérification : ETE = Encaissements - Décaissements (Solution 2)</t>
  </si>
  <si>
    <t>-</t>
  </si>
  <si>
    <t>ETE   =</t>
  </si>
  <si>
    <t>Excédent de Trésorerie d'Exploitation (ETE)</t>
  </si>
  <si>
    <t>Encaissements</t>
  </si>
  <si>
    <t>Décaissements</t>
  </si>
  <si>
    <t>Ventes de la période TTC</t>
  </si>
  <si>
    <t>Achats de la période TTC</t>
  </si>
  <si>
    <t>Services extérieurs décaissés TTC</t>
  </si>
  <si>
    <t>=</t>
  </si>
  <si>
    <t>SARL LA BREE - Variation du FRNG (solution 1)</t>
  </si>
  <si>
    <t>SARL LA BREE - Variation du FRNG (solution 2)</t>
  </si>
  <si>
    <t>Emplois stables :</t>
  </si>
  <si>
    <t>Ressources stables :</t>
  </si>
  <si>
    <t>Variation du FRNG</t>
  </si>
  <si>
    <t>Variation du BFRE</t>
  </si>
  <si>
    <t>Variation du BFRHE</t>
  </si>
  <si>
    <t>SARL LA BREE - Variations de trésorerie</t>
  </si>
  <si>
    <t>Variation du BFRHE dans le tableau de financement</t>
  </si>
  <si>
    <t>Variation de la Trésorerie Nette</t>
  </si>
  <si>
    <t>Variation FRNG</t>
  </si>
  <si>
    <t>Variation BFRE</t>
  </si>
  <si>
    <t>Vérification de la variation de Trésorerie Nette</t>
  </si>
  <si>
    <t>Variation de la Trésorerie Nette selon les flux de trésorerie</t>
  </si>
  <si>
    <t>Excédent de Trésorerie d'Exploitation</t>
  </si>
  <si>
    <t>Flux nets de trésorerie hors exploitation</t>
  </si>
  <si>
    <t>Affectation de l'Excédent de Trésorerie d'Exploitation</t>
  </si>
  <si>
    <t>SARL LA BREE - Excédent Sur Opération (ESO)</t>
  </si>
  <si>
    <t>Excédent Sur Opération</t>
  </si>
  <si>
    <t>1°) Commentaires :</t>
  </si>
  <si>
    <t>2°) Synthèse :</t>
  </si>
  <si>
    <t xml:space="preserve"> - Amélioration du FRNG due à une augmentation de capital et à l'autofinancement.</t>
  </si>
  <si>
    <t xml:space="preserve"> - Alourdissement du BFRE.</t>
  </si>
  <si>
    <t xml:space="preserve"> - Dégradation de la trésorerie.</t>
  </si>
  <si>
    <t>SARL LA BREE - Commentaires et synthèse</t>
  </si>
  <si>
    <t>Variation TN = Var. TA - Var. TP</t>
  </si>
  <si>
    <t>Variation TN = Var. FRNG - Var. BFR</t>
  </si>
  <si>
    <t>Variation TN = ETE + Variation Trésorerie Hors Exploitation + Variation Trésorerie Finanancement + Variation Trésorerie Investissement</t>
  </si>
  <si>
    <t>ETE = EBE - Variation BFRE</t>
  </si>
  <si>
    <t>ETE = Encaissements - Décaissements</t>
  </si>
  <si>
    <t>Variations des stocks de matières 1ères</t>
  </si>
  <si>
    <t>Stocks de matières 1ères</t>
  </si>
  <si>
    <t>Amortissements et dépréciations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</si>
</sst>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"/>
    <numFmt numFmtId="175" formatCode="#,##0.000"/>
  </numFmts>
  <fonts count="5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1"/>
      <color indexed="63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2"/>
      <color indexed="30"/>
      <name val="Times New Roman"/>
      <family val="1"/>
    </font>
    <font>
      <b/>
      <sz val="11"/>
      <color indexed="3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2"/>
      <color rgb="FF0070C0"/>
      <name val="Times New Roman"/>
      <family val="1"/>
    </font>
    <font>
      <b/>
      <sz val="11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28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10" borderId="10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33" borderId="0" xfId="0" applyFont="1" applyFill="1" applyBorder="1" applyAlignment="1">
      <alignment/>
    </xf>
    <xf numFmtId="4" fontId="9" fillId="33" borderId="10" xfId="0" applyNumberFormat="1" applyFont="1" applyFill="1" applyBorder="1" applyAlignment="1">
      <alignment horizontal="right"/>
    </xf>
    <xf numFmtId="4" fontId="9" fillId="33" borderId="1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3" fillId="10" borderId="14" xfId="0" applyFont="1" applyFill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3" fillId="10" borderId="15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4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3" fillId="8" borderId="10" xfId="0" applyFont="1" applyFill="1" applyBorder="1" applyAlignment="1">
      <alignment horizontal="center"/>
    </xf>
    <xf numFmtId="0" fontId="9" fillId="10" borderId="15" xfId="0" applyFont="1" applyFill="1" applyBorder="1" applyAlignment="1">
      <alignment horizontal="center"/>
    </xf>
    <xf numFmtId="0" fontId="9" fillId="10" borderId="10" xfId="0" applyFont="1" applyFill="1" applyBorder="1" applyAlignment="1">
      <alignment horizontal="center"/>
    </xf>
    <xf numFmtId="0" fontId="9" fillId="10" borderId="18" xfId="0" applyFont="1" applyFill="1" applyBorder="1" applyAlignment="1">
      <alignment horizontal="center"/>
    </xf>
    <xf numFmtId="0" fontId="9" fillId="10" borderId="1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33" borderId="13" xfId="0" applyFont="1" applyFill="1" applyBorder="1" applyAlignment="1">
      <alignment/>
    </xf>
    <xf numFmtId="4" fontId="7" fillId="33" borderId="16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4" fontId="7" fillId="0" borderId="16" xfId="0" applyNumberFormat="1" applyFont="1" applyBorder="1" applyAlignment="1">
      <alignment/>
    </xf>
    <xf numFmtId="0" fontId="9" fillId="33" borderId="13" xfId="0" applyFont="1" applyFill="1" applyBorder="1" applyAlignment="1">
      <alignment horizontal="right"/>
    </xf>
    <xf numFmtId="4" fontId="7" fillId="33" borderId="17" xfId="0" applyNumberFormat="1" applyFont="1" applyFill="1" applyBorder="1" applyAlignment="1">
      <alignment horizontal="center"/>
    </xf>
    <xf numFmtId="4" fontId="7" fillId="33" borderId="17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4" fontId="7" fillId="33" borderId="20" xfId="0" applyNumberFormat="1" applyFont="1" applyFill="1" applyBorder="1" applyAlignment="1">
      <alignment/>
    </xf>
    <xf numFmtId="4" fontId="7" fillId="33" borderId="21" xfId="0" applyNumberFormat="1" applyFont="1" applyFill="1" applyBorder="1" applyAlignment="1">
      <alignment/>
    </xf>
    <xf numFmtId="4" fontId="9" fillId="33" borderId="17" xfId="0" applyNumberFormat="1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9" fillId="33" borderId="23" xfId="0" applyFont="1" applyFill="1" applyBorder="1" applyAlignment="1">
      <alignment horizontal="right"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4" fontId="9" fillId="33" borderId="20" xfId="0" applyNumberFormat="1" applyFont="1" applyFill="1" applyBorder="1" applyAlignment="1">
      <alignment/>
    </xf>
    <xf numFmtId="0" fontId="10" fillId="2" borderId="26" xfId="0" applyFont="1" applyFill="1" applyBorder="1" applyAlignment="1">
      <alignment horizontal="right"/>
    </xf>
    <xf numFmtId="4" fontId="10" fillId="33" borderId="20" xfId="0" applyNumberFormat="1" applyFont="1" applyFill="1" applyBorder="1" applyAlignment="1">
      <alignment/>
    </xf>
    <xf numFmtId="0" fontId="10" fillId="2" borderId="27" xfId="0" applyFont="1" applyFill="1" applyBorder="1" applyAlignment="1">
      <alignment horizontal="right"/>
    </xf>
    <xf numFmtId="4" fontId="9" fillId="13" borderId="10" xfId="0" applyNumberFormat="1" applyFont="1" applyFill="1" applyBorder="1" applyAlignment="1">
      <alignment/>
    </xf>
    <xf numFmtId="0" fontId="9" fillId="8" borderId="28" xfId="0" applyFont="1" applyFill="1" applyBorder="1" applyAlignment="1">
      <alignment horizontal="right"/>
    </xf>
    <xf numFmtId="0" fontId="9" fillId="8" borderId="29" xfId="0" applyFont="1" applyFill="1" applyBorder="1" applyAlignment="1">
      <alignment horizontal="right"/>
    </xf>
    <xf numFmtId="0" fontId="7" fillId="33" borderId="0" xfId="0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4" fontId="9" fillId="0" borderId="10" xfId="0" applyNumberFormat="1" applyFont="1" applyBorder="1" applyAlignment="1">
      <alignment/>
    </xf>
    <xf numFmtId="4" fontId="9" fillId="0" borderId="20" xfId="0" applyNumberFormat="1" applyFont="1" applyBorder="1" applyAlignment="1">
      <alignment/>
    </xf>
    <xf numFmtId="0" fontId="7" fillId="0" borderId="24" xfId="0" applyFont="1" applyBorder="1" applyAlignment="1">
      <alignment/>
    </xf>
    <xf numFmtId="4" fontId="7" fillId="0" borderId="20" xfId="0" applyNumberFormat="1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2" xfId="0" applyFont="1" applyBorder="1" applyAlignment="1">
      <alignment/>
    </xf>
    <xf numFmtId="4" fontId="7" fillId="0" borderId="17" xfId="0" applyNumberFormat="1" applyFont="1" applyBorder="1" applyAlignment="1">
      <alignment/>
    </xf>
    <xf numFmtId="0" fontId="7" fillId="0" borderId="23" xfId="0" applyFont="1" applyBorder="1" applyAlignment="1">
      <alignment/>
    </xf>
    <xf numFmtId="4" fontId="9" fillId="0" borderId="17" xfId="0" applyNumberFormat="1" applyFont="1" applyBorder="1" applyAlignment="1">
      <alignment/>
    </xf>
    <xf numFmtId="0" fontId="9" fillId="0" borderId="15" xfId="0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3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30" xfId="0" applyFont="1" applyBorder="1" applyAlignment="1">
      <alignment/>
    </xf>
    <xf numFmtId="4" fontId="9" fillId="0" borderId="10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4" fontId="9" fillId="0" borderId="20" xfId="0" applyNumberFormat="1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13" xfId="0" applyFont="1" applyBorder="1" applyAlignment="1">
      <alignment wrapText="1"/>
    </xf>
    <xf numFmtId="4" fontId="7" fillId="0" borderId="16" xfId="0" applyNumberFormat="1" applyFont="1" applyBorder="1" applyAlignment="1">
      <alignment horizontal="right"/>
    </xf>
    <xf numFmtId="0" fontId="7" fillId="0" borderId="16" xfId="0" applyFont="1" applyBorder="1" applyAlignment="1">
      <alignment vertical="center" wrapText="1"/>
    </xf>
    <xf numFmtId="0" fontId="9" fillId="0" borderId="31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25" xfId="0" applyFont="1" applyBorder="1" applyAlignment="1">
      <alignment wrapText="1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3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10" borderId="10" xfId="0" applyFont="1" applyFill="1" applyBorder="1" applyAlignment="1">
      <alignment horizontal="center"/>
    </xf>
    <xf numFmtId="4" fontId="3" fillId="2" borderId="10" xfId="0" applyNumberFormat="1" applyFont="1" applyFill="1" applyBorder="1" applyAlignment="1">
      <alignment/>
    </xf>
    <xf numFmtId="0" fontId="3" fillId="0" borderId="35" xfId="0" applyFont="1" applyBorder="1" applyAlignment="1">
      <alignment/>
    </xf>
    <xf numFmtId="4" fontId="4" fillId="0" borderId="17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5" xfId="0" applyFont="1" applyBorder="1" applyAlignment="1">
      <alignment/>
    </xf>
    <xf numFmtId="0" fontId="3" fillId="8" borderId="37" xfId="0" applyFont="1" applyFill="1" applyBorder="1" applyAlignment="1">
      <alignment horizontal="right"/>
    </xf>
    <xf numFmtId="0" fontId="3" fillId="10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right"/>
    </xf>
    <xf numFmtId="4" fontId="3" fillId="8" borderId="20" xfId="0" applyNumberFormat="1" applyFont="1" applyFill="1" applyBorder="1" applyAlignment="1">
      <alignment/>
    </xf>
    <xf numFmtId="4" fontId="4" fillId="0" borderId="38" xfId="0" applyNumberFormat="1" applyFont="1" applyBorder="1" applyAlignment="1">
      <alignment/>
    </xf>
    <xf numFmtId="4" fontId="4" fillId="0" borderId="39" xfId="0" applyNumberFormat="1" applyFont="1" applyBorder="1" applyAlignment="1">
      <alignment/>
    </xf>
    <xf numFmtId="4" fontId="4" fillId="0" borderId="40" xfId="0" applyNumberFormat="1" applyFont="1" applyBorder="1" applyAlignment="1">
      <alignment/>
    </xf>
    <xf numFmtId="0" fontId="3" fillId="2" borderId="14" xfId="0" applyFont="1" applyFill="1" applyBorder="1" applyAlignment="1">
      <alignment horizontal="right"/>
    </xf>
    <xf numFmtId="4" fontId="3" fillId="2" borderId="11" xfId="0" applyNumberFormat="1" applyFont="1" applyFill="1" applyBorder="1" applyAlignment="1">
      <alignment/>
    </xf>
    <xf numFmtId="0" fontId="3" fillId="2" borderId="10" xfId="0" applyFont="1" applyFill="1" applyBorder="1" applyAlignment="1">
      <alignment horizontal="right"/>
    </xf>
    <xf numFmtId="4" fontId="13" fillId="2" borderId="1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38" xfId="0" applyFont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/>
    </xf>
    <xf numFmtId="4" fontId="3" fillId="0" borderId="25" xfId="0" applyNumberFormat="1" applyFont="1" applyFill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9" xfId="0" applyFont="1" applyBorder="1" applyAlignment="1">
      <alignment horizontal="right"/>
    </xf>
    <xf numFmtId="0" fontId="4" fillId="0" borderId="24" xfId="0" applyFont="1" applyBorder="1" applyAlignment="1">
      <alignment/>
    </xf>
    <xf numFmtId="0" fontId="3" fillId="0" borderId="25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4" fontId="3" fillId="8" borderId="10" xfId="0" applyNumberFormat="1" applyFont="1" applyFill="1" applyBorder="1" applyAlignment="1">
      <alignment/>
    </xf>
    <xf numFmtId="4" fontId="4" fillId="0" borderId="39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3" fillId="0" borderId="38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4" fontId="3" fillId="0" borderId="39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3" fillId="0" borderId="40" xfId="0" applyNumberFormat="1" applyFont="1" applyFill="1" applyBorder="1" applyAlignment="1">
      <alignment/>
    </xf>
    <xf numFmtId="0" fontId="3" fillId="8" borderId="15" xfId="0" applyFont="1" applyFill="1" applyBorder="1" applyAlignment="1">
      <alignment horizontal="center"/>
    </xf>
    <xf numFmtId="4" fontId="3" fillId="8" borderId="11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4" fontId="13" fillId="33" borderId="10" xfId="0" applyNumberFormat="1" applyFont="1" applyFill="1" applyBorder="1" applyAlignment="1">
      <alignment horizontal="right"/>
    </xf>
    <xf numFmtId="2" fontId="11" fillId="33" borderId="0" xfId="0" applyNumberFormat="1" applyFont="1" applyFill="1" applyBorder="1" applyAlignment="1">
      <alignment/>
    </xf>
    <xf numFmtId="0" fontId="3" fillId="0" borderId="22" xfId="0" applyFont="1" applyBorder="1" applyAlignment="1">
      <alignment/>
    </xf>
    <xf numFmtId="4" fontId="3" fillId="0" borderId="17" xfId="0" applyNumberFormat="1" applyFont="1" applyBorder="1" applyAlignment="1">
      <alignment horizontal="right"/>
    </xf>
    <xf numFmtId="0" fontId="3" fillId="0" borderId="24" xfId="0" applyFont="1" applyBorder="1" applyAlignment="1">
      <alignment/>
    </xf>
    <xf numFmtId="0" fontId="4" fillId="0" borderId="13" xfId="0" applyFont="1" applyBorder="1" applyAlignment="1">
      <alignment/>
    </xf>
    <xf numFmtId="4" fontId="4" fillId="0" borderId="16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3" fillId="8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8" borderId="15" xfId="0" applyFont="1" applyFill="1" applyBorder="1" applyAlignment="1">
      <alignment/>
    </xf>
    <xf numFmtId="4" fontId="4" fillId="0" borderId="17" xfId="0" applyNumberFormat="1" applyFont="1" applyBorder="1" applyAlignment="1">
      <alignment horizontal="right"/>
    </xf>
    <xf numFmtId="2" fontId="1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8" borderId="18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8" borderId="15" xfId="0" applyFont="1" applyFill="1" applyBorder="1" applyAlignment="1">
      <alignment/>
    </xf>
    <xf numFmtId="0" fontId="3" fillId="8" borderId="11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15" fillId="33" borderId="22" xfId="0" applyFont="1" applyFill="1" applyBorder="1" applyAlignment="1">
      <alignment/>
    </xf>
    <xf numFmtId="0" fontId="15" fillId="33" borderId="13" xfId="0" applyFont="1" applyFill="1" applyBorder="1" applyAlignment="1">
      <alignment/>
    </xf>
    <xf numFmtId="0" fontId="3" fillId="2" borderId="41" xfId="0" applyFont="1" applyFill="1" applyBorder="1" applyAlignment="1">
      <alignment/>
    </xf>
    <xf numFmtId="0" fontId="4" fillId="0" borderId="42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43" xfId="0" applyFont="1" applyBorder="1" applyAlignment="1">
      <alignment/>
    </xf>
    <xf numFmtId="0" fontId="3" fillId="2" borderId="44" xfId="0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2" borderId="14" xfId="0" applyFont="1" applyFill="1" applyBorder="1" applyAlignment="1">
      <alignment/>
    </xf>
    <xf numFmtId="0" fontId="3" fillId="2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4" fontId="4" fillId="0" borderId="48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4" fillId="2" borderId="38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3" fillId="2" borderId="10" xfId="0" applyNumberFormat="1" applyFont="1" applyFill="1" applyBorder="1" applyAlignment="1">
      <alignment/>
    </xf>
    <xf numFmtId="4" fontId="3" fillId="0" borderId="39" xfId="0" applyNumberFormat="1" applyFont="1" applyFill="1" applyBorder="1" applyAlignment="1">
      <alignment horizontal="right"/>
    </xf>
    <xf numFmtId="0" fontId="4" fillId="0" borderId="39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4" fontId="3" fillId="0" borderId="40" xfId="0" applyNumberFormat="1" applyFont="1" applyFill="1" applyBorder="1" applyAlignment="1">
      <alignment horizontal="right"/>
    </xf>
    <xf numFmtId="4" fontId="3" fillId="2" borderId="49" xfId="0" applyNumberFormat="1" applyFont="1" applyFill="1" applyBorder="1" applyAlignment="1">
      <alignment/>
    </xf>
    <xf numFmtId="4" fontId="3" fillId="8" borderId="10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20" xfId="0" applyFont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4" fontId="4" fillId="33" borderId="0" xfId="0" applyNumberFormat="1" applyFont="1" applyFill="1" applyBorder="1" applyAlignment="1">
      <alignment/>
    </xf>
    <xf numFmtId="0" fontId="50" fillId="9" borderId="10" xfId="0" applyFont="1" applyFill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/>
    </xf>
    <xf numFmtId="1" fontId="4" fillId="0" borderId="13" xfId="0" applyNumberFormat="1" applyFont="1" applyBorder="1" applyAlignment="1">
      <alignment horizontal="center"/>
    </xf>
    <xf numFmtId="4" fontId="4" fillId="19" borderId="39" xfId="0" applyNumberFormat="1" applyFont="1" applyFill="1" applyBorder="1" applyAlignment="1">
      <alignment/>
    </xf>
    <xf numFmtId="1" fontId="4" fillId="0" borderId="24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/>
    </xf>
    <xf numFmtId="0" fontId="3" fillId="8" borderId="15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50" fillId="9" borderId="15" xfId="0" applyFont="1" applyFill="1" applyBorder="1" applyAlignment="1">
      <alignment horizontal="center" vertical="center"/>
    </xf>
    <xf numFmtId="0" fontId="50" fillId="9" borderId="30" xfId="0" applyFont="1" applyFill="1" applyBorder="1" applyAlignment="1">
      <alignment horizontal="center" vertical="center"/>
    </xf>
    <xf numFmtId="0" fontId="50" fillId="9" borderId="30" xfId="0" applyFont="1" applyFill="1" applyBorder="1" applyAlignment="1">
      <alignment vertical="center"/>
    </xf>
    <xf numFmtId="0" fontId="50" fillId="9" borderId="11" xfId="0" applyFont="1" applyFill="1" applyBorder="1" applyAlignment="1">
      <alignment vertical="center"/>
    </xf>
    <xf numFmtId="0" fontId="3" fillId="10" borderId="15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horizontal="center" vertical="center" wrapText="1"/>
    </xf>
    <xf numFmtId="0" fontId="3" fillId="10" borderId="20" xfId="0" applyFont="1" applyFill="1" applyBorder="1" applyAlignment="1">
      <alignment horizontal="center" vertical="center" wrapText="1"/>
    </xf>
    <xf numFmtId="0" fontId="3" fillId="10" borderId="38" xfId="0" applyFont="1" applyFill="1" applyBorder="1" applyAlignment="1">
      <alignment horizontal="center" vertical="center" wrapText="1"/>
    </xf>
    <xf numFmtId="0" fontId="3" fillId="10" borderId="4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1" fillId="9" borderId="15" xfId="0" applyFont="1" applyFill="1" applyBorder="1" applyAlignment="1">
      <alignment horizontal="center" vertical="center"/>
    </xf>
    <xf numFmtId="0" fontId="51" fillId="9" borderId="30" xfId="0" applyFont="1" applyFill="1" applyBorder="1" applyAlignment="1">
      <alignment horizontal="center" vertical="center"/>
    </xf>
    <xf numFmtId="0" fontId="51" fillId="9" borderId="11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wrapText="1"/>
    </xf>
    <xf numFmtId="0" fontId="7" fillId="0" borderId="20" xfId="0" applyFont="1" applyBorder="1" applyAlignment="1">
      <alignment wrapText="1"/>
    </xf>
    <xf numFmtId="4" fontId="9" fillId="0" borderId="17" xfId="0" applyNumberFormat="1" applyFont="1" applyFill="1" applyBorder="1" applyAlignment="1">
      <alignment horizontal="right"/>
    </xf>
    <xf numFmtId="4" fontId="9" fillId="0" borderId="20" xfId="0" applyNumberFormat="1" applyFont="1" applyFill="1" applyBorder="1" applyAlignment="1">
      <alignment horizontal="right"/>
    </xf>
    <xf numFmtId="0" fontId="9" fillId="0" borderId="17" xfId="0" applyFont="1" applyFill="1" applyBorder="1" applyAlignment="1">
      <alignment wrapText="1"/>
    </xf>
    <xf numFmtId="0" fontId="9" fillId="0" borderId="20" xfId="0" applyFont="1" applyFill="1" applyBorder="1" applyAlignment="1">
      <alignment wrapText="1"/>
    </xf>
    <xf numFmtId="0" fontId="51" fillId="9" borderId="15" xfId="0" applyFont="1" applyFill="1" applyBorder="1" applyAlignment="1">
      <alignment horizontal="center"/>
    </xf>
    <xf numFmtId="0" fontId="51" fillId="9" borderId="30" xfId="0" applyFont="1" applyFill="1" applyBorder="1" applyAlignment="1">
      <alignment horizontal="center"/>
    </xf>
    <xf numFmtId="0" fontId="51" fillId="9" borderId="11" xfId="0" applyFont="1" applyFill="1" applyBorder="1" applyAlignment="1">
      <alignment horizontal="center"/>
    </xf>
    <xf numFmtId="0" fontId="9" fillId="10" borderId="15" xfId="0" applyFont="1" applyFill="1" applyBorder="1" applyAlignment="1">
      <alignment horizontal="center" vertical="center"/>
    </xf>
    <xf numFmtId="0" fontId="9" fillId="10" borderId="11" xfId="0" applyFont="1" applyFill="1" applyBorder="1" applyAlignment="1">
      <alignment horizontal="center" vertical="center"/>
    </xf>
    <xf numFmtId="0" fontId="9" fillId="10" borderId="30" xfId="0" applyFont="1" applyFill="1" applyBorder="1" applyAlignment="1">
      <alignment horizontal="center" vertical="center"/>
    </xf>
    <xf numFmtId="0" fontId="9" fillId="10" borderId="15" xfId="0" applyFont="1" applyFill="1" applyBorder="1" applyAlignment="1">
      <alignment horizontal="center" vertical="center" wrapText="1"/>
    </xf>
    <xf numFmtId="0" fontId="9" fillId="10" borderId="1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9" fillId="0" borderId="16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left" wrapText="1"/>
    </xf>
    <xf numFmtId="0" fontId="50" fillId="9" borderId="15" xfId="0" applyFont="1" applyFill="1" applyBorder="1" applyAlignment="1">
      <alignment horizontal="center"/>
    </xf>
    <xf numFmtId="0" fontId="50" fillId="9" borderId="30" xfId="0" applyFont="1" applyFill="1" applyBorder="1" applyAlignment="1">
      <alignment horizontal="center"/>
    </xf>
    <xf numFmtId="0" fontId="50" fillId="9" borderId="11" xfId="0" applyFont="1" applyFill="1" applyBorder="1" applyAlignment="1">
      <alignment horizontal="center"/>
    </xf>
    <xf numFmtId="0" fontId="3" fillId="10" borderId="15" xfId="0" applyFont="1" applyFill="1" applyBorder="1" applyAlignment="1">
      <alignment horizontal="center"/>
    </xf>
    <xf numFmtId="0" fontId="3" fillId="10" borderId="30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/>
    </xf>
    <xf numFmtId="0" fontId="3" fillId="10" borderId="22" xfId="0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/>
    </xf>
    <xf numFmtId="0" fontId="3" fillId="10" borderId="38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8" borderId="30" xfId="0" applyFont="1" applyFill="1" applyBorder="1" applyAlignment="1">
      <alignment horizontal="center"/>
    </xf>
    <xf numFmtId="0" fontId="3" fillId="8" borderId="40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3" fillId="9" borderId="15" xfId="0" applyFont="1" applyFill="1" applyBorder="1" applyAlignment="1">
      <alignment horizontal="center"/>
    </xf>
    <xf numFmtId="0" fontId="3" fillId="9" borderId="30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2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4" fontId="3" fillId="8" borderId="40" xfId="0" applyNumberFormat="1" applyFont="1" applyFill="1" applyBorder="1" applyAlignment="1">
      <alignment/>
    </xf>
    <xf numFmtId="171" fontId="4" fillId="0" borderId="0" xfId="45" applyFont="1" applyAlignment="1">
      <alignment/>
    </xf>
    <xf numFmtId="4" fontId="9" fillId="0" borderId="17" xfId="0" applyNumberFormat="1" applyFont="1" applyBorder="1" applyAlignment="1">
      <alignment horizontal="right"/>
    </xf>
    <xf numFmtId="4" fontId="9" fillId="0" borderId="20" xfId="0" applyNumberFormat="1" applyFont="1" applyBorder="1" applyAlignment="1">
      <alignment horizontal="right"/>
    </xf>
    <xf numFmtId="4" fontId="4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-gea\homes\IUT%201%20S1%20et%20S2\SEMESTRE%202\821-ANALYSEDOCUMENTSYNTHESE\TDEXCEL\TABLEAUXVIDES\BAL%20TAB%20RES%20SIG%20CAF%20BIL%20TAB%20FIN%20vi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TABLEAURESULTAT"/>
      <sheetName val="SIG"/>
      <sheetName val="CAF"/>
      <sheetName val="BILAN"/>
      <sheetName val="BILANFONCTIONNEL"/>
      <sheetName val="ANALYSEBILFONCT"/>
      <sheetName val="TABFIN1"/>
      <sheetName val="TABFIN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5"/>
  <sheetViews>
    <sheetView showGridLines="0" zoomScalePageLayoutView="0" workbookViewId="0" topLeftCell="A1">
      <selection activeCell="H10" sqref="H10:I13"/>
    </sheetView>
  </sheetViews>
  <sheetFormatPr defaultColWidth="11.421875" defaultRowHeight="12.75"/>
  <cols>
    <col min="1" max="1" width="3.7109375" style="2" customWidth="1"/>
    <col min="2" max="2" width="8.7109375" style="9" customWidth="1"/>
    <col min="3" max="3" width="33.7109375" style="2" customWidth="1"/>
    <col min="4" max="7" width="14.7109375" style="2" customWidth="1"/>
    <col min="8" max="8" width="12.140625" style="2" bestFit="1" customWidth="1"/>
    <col min="9" max="9" width="13.00390625" style="2" bestFit="1" customWidth="1"/>
    <col min="10" max="16384" width="11.421875" style="2" customWidth="1"/>
  </cols>
  <sheetData>
    <row r="1" spans="3:4" ht="16.5" thickBot="1">
      <c r="C1" s="3"/>
      <c r="D1" s="4"/>
    </row>
    <row r="2" spans="2:7" ht="16.5" thickBot="1">
      <c r="B2" s="218" t="s">
        <v>128</v>
      </c>
      <c r="C2" s="219"/>
      <c r="D2" s="219"/>
      <c r="E2" s="219"/>
      <c r="F2" s="220"/>
      <c r="G2" s="221"/>
    </row>
    <row r="3" spans="2:7" ht="16.5" thickBot="1">
      <c r="B3" s="225" t="s">
        <v>129</v>
      </c>
      <c r="C3" s="227" t="s">
        <v>33</v>
      </c>
      <c r="D3" s="222" t="s">
        <v>87</v>
      </c>
      <c r="E3" s="223"/>
      <c r="F3" s="222" t="s">
        <v>88</v>
      </c>
      <c r="G3" s="224"/>
    </row>
    <row r="4" spans="2:7" ht="33" customHeight="1" thickBot="1">
      <c r="B4" s="226"/>
      <c r="C4" s="228"/>
      <c r="D4" s="6" t="s">
        <v>34</v>
      </c>
      <c r="E4" s="7" t="s">
        <v>35</v>
      </c>
      <c r="F4" s="6" t="s">
        <v>34</v>
      </c>
      <c r="G4" s="7" t="s">
        <v>35</v>
      </c>
    </row>
    <row r="5" spans="2:9" ht="15.75">
      <c r="B5" s="210">
        <v>101</v>
      </c>
      <c r="C5" s="24" t="s">
        <v>27</v>
      </c>
      <c r="D5" s="211"/>
      <c r="E5" s="104">
        <v>4000000</v>
      </c>
      <c r="F5" s="104"/>
      <c r="G5" s="111">
        <v>4200000</v>
      </c>
      <c r="I5" s="278"/>
    </row>
    <row r="6" spans="2:9" ht="15.75">
      <c r="B6" s="212">
        <v>1061</v>
      </c>
      <c r="C6" s="204" t="s">
        <v>86</v>
      </c>
      <c r="D6" s="20"/>
      <c r="E6" s="23">
        <v>398000</v>
      </c>
      <c r="F6" s="23"/>
      <c r="G6" s="112">
        <v>400000</v>
      </c>
      <c r="I6" s="278"/>
    </row>
    <row r="7" spans="2:9" ht="15.75">
      <c r="B7" s="212">
        <v>1068</v>
      </c>
      <c r="C7" s="204" t="s">
        <v>89</v>
      </c>
      <c r="D7" s="20"/>
      <c r="E7" s="23">
        <v>1500000</v>
      </c>
      <c r="F7" s="23"/>
      <c r="G7" s="112">
        <v>1550000</v>
      </c>
      <c r="I7" s="278"/>
    </row>
    <row r="8" spans="2:9" ht="15.75">
      <c r="B8" s="212">
        <v>120</v>
      </c>
      <c r="C8" s="204" t="s">
        <v>131</v>
      </c>
      <c r="D8" s="20"/>
      <c r="E8" s="23">
        <v>243000</v>
      </c>
      <c r="F8" s="23"/>
      <c r="G8" s="213"/>
      <c r="I8" s="278"/>
    </row>
    <row r="9" spans="2:7" ht="15.75">
      <c r="B9" s="212">
        <v>164</v>
      </c>
      <c r="C9" s="204" t="s">
        <v>132</v>
      </c>
      <c r="D9" s="20"/>
      <c r="E9" s="23">
        <v>200000</v>
      </c>
      <c r="F9" s="23"/>
      <c r="G9" s="112">
        <v>180000</v>
      </c>
    </row>
    <row r="10" spans="2:8" ht="15.75">
      <c r="B10" s="212">
        <v>2154</v>
      </c>
      <c r="C10" s="204" t="s">
        <v>90</v>
      </c>
      <c r="D10" s="20">
        <v>9000000</v>
      </c>
      <c r="E10" s="23"/>
      <c r="F10" s="23">
        <v>8800000</v>
      </c>
      <c r="G10" s="112"/>
      <c r="H10" s="278"/>
    </row>
    <row r="11" spans="2:7" ht="15.75">
      <c r="B11" s="212">
        <v>2182</v>
      </c>
      <c r="C11" s="204" t="s">
        <v>91</v>
      </c>
      <c r="D11" s="20">
        <v>300000</v>
      </c>
      <c r="E11" s="23"/>
      <c r="F11" s="23">
        <v>300000</v>
      </c>
      <c r="G11" s="112"/>
    </row>
    <row r="12" spans="2:7" ht="15.75">
      <c r="B12" s="212">
        <v>2186</v>
      </c>
      <c r="C12" s="204" t="s">
        <v>133</v>
      </c>
      <c r="D12" s="20">
        <v>220000</v>
      </c>
      <c r="E12" s="23"/>
      <c r="F12" s="23">
        <v>260000</v>
      </c>
      <c r="G12" s="112"/>
    </row>
    <row r="13" spans="2:7" ht="15.75">
      <c r="B13" s="212">
        <v>2187</v>
      </c>
      <c r="C13" s="204" t="s">
        <v>92</v>
      </c>
      <c r="D13" s="20">
        <v>120000</v>
      </c>
      <c r="E13" s="23"/>
      <c r="F13" s="23">
        <v>150000</v>
      </c>
      <c r="G13" s="112"/>
    </row>
    <row r="14" spans="2:7" ht="15.75">
      <c r="B14" s="212">
        <v>28154</v>
      </c>
      <c r="C14" s="204" t="s">
        <v>134</v>
      </c>
      <c r="D14" s="20"/>
      <c r="E14" s="23">
        <v>4000000</v>
      </c>
      <c r="F14" s="23"/>
      <c r="G14" s="112">
        <v>5756000</v>
      </c>
    </row>
    <row r="15" spans="2:7" ht="15.75">
      <c r="B15" s="212">
        <v>28182</v>
      </c>
      <c r="C15" s="204" t="s">
        <v>135</v>
      </c>
      <c r="D15" s="20"/>
      <c r="E15" s="23">
        <v>200000</v>
      </c>
      <c r="F15" s="23"/>
      <c r="G15" s="112">
        <v>220000</v>
      </c>
    </row>
    <row r="16" spans="2:7" ht="15.75">
      <c r="B16" s="212">
        <v>28183</v>
      </c>
      <c r="C16" s="204" t="s">
        <v>136</v>
      </c>
      <c r="D16" s="20"/>
      <c r="E16" s="23">
        <v>150000</v>
      </c>
      <c r="F16" s="23"/>
      <c r="G16" s="112">
        <v>165000</v>
      </c>
    </row>
    <row r="17" spans="2:7" ht="15.75">
      <c r="B17" s="212">
        <v>28187</v>
      </c>
      <c r="C17" s="204" t="s">
        <v>137</v>
      </c>
      <c r="D17" s="20"/>
      <c r="E17" s="23">
        <v>70000</v>
      </c>
      <c r="F17" s="23"/>
      <c r="G17" s="112">
        <v>80000</v>
      </c>
    </row>
    <row r="18" spans="2:7" ht="15.75">
      <c r="B18" s="212">
        <v>31</v>
      </c>
      <c r="C18" s="204" t="s">
        <v>138</v>
      </c>
      <c r="D18" s="20">
        <v>700000</v>
      </c>
      <c r="E18" s="23"/>
      <c r="F18" s="23">
        <v>850000</v>
      </c>
      <c r="G18" s="112"/>
    </row>
    <row r="19" spans="2:7" ht="15.75">
      <c r="B19" s="212">
        <v>401</v>
      </c>
      <c r="C19" s="204" t="s">
        <v>93</v>
      </c>
      <c r="D19" s="20"/>
      <c r="E19" s="23">
        <v>1500000</v>
      </c>
      <c r="F19" s="23"/>
      <c r="G19" s="112">
        <v>1580000</v>
      </c>
    </row>
    <row r="20" spans="2:7" ht="15.75">
      <c r="B20" s="212">
        <v>411</v>
      </c>
      <c r="C20" s="204" t="s">
        <v>94</v>
      </c>
      <c r="D20" s="20">
        <v>2082000</v>
      </c>
      <c r="E20" s="23"/>
      <c r="F20" s="23">
        <v>4650000</v>
      </c>
      <c r="G20" s="112"/>
    </row>
    <row r="21" spans="2:7" ht="15.75">
      <c r="B21" s="212">
        <v>431</v>
      </c>
      <c r="C21" s="204" t="s">
        <v>95</v>
      </c>
      <c r="D21" s="20"/>
      <c r="E21" s="23">
        <v>150000</v>
      </c>
      <c r="F21" s="23"/>
      <c r="G21" s="112">
        <v>167000</v>
      </c>
    </row>
    <row r="22" spans="2:7" ht="15.75">
      <c r="B22" s="212">
        <v>444</v>
      </c>
      <c r="C22" s="204" t="s">
        <v>139</v>
      </c>
      <c r="D22" s="20"/>
      <c r="E22" s="23">
        <v>56000</v>
      </c>
      <c r="F22" s="23"/>
      <c r="G22" s="112">
        <v>170000</v>
      </c>
    </row>
    <row r="23" spans="2:7" ht="15.75">
      <c r="B23" s="212">
        <v>44551</v>
      </c>
      <c r="C23" s="204" t="s">
        <v>140</v>
      </c>
      <c r="D23" s="20"/>
      <c r="E23" s="23">
        <v>75000</v>
      </c>
      <c r="F23" s="23"/>
      <c r="G23" s="112">
        <v>86000</v>
      </c>
    </row>
    <row r="24" spans="2:7" ht="15.75">
      <c r="B24" s="212">
        <v>512</v>
      </c>
      <c r="C24" s="204" t="s">
        <v>96</v>
      </c>
      <c r="D24" s="20">
        <v>120000</v>
      </c>
      <c r="E24" s="23"/>
      <c r="F24" s="23">
        <v>6000</v>
      </c>
      <c r="G24" s="112"/>
    </row>
    <row r="25" spans="2:7" ht="15.75">
      <c r="B25" s="212">
        <v>601</v>
      </c>
      <c r="C25" s="204" t="s">
        <v>130</v>
      </c>
      <c r="D25" s="20"/>
      <c r="E25" s="23"/>
      <c r="F25" s="23">
        <v>9000000</v>
      </c>
      <c r="G25" s="112"/>
    </row>
    <row r="26" spans="2:7" ht="18.75">
      <c r="B26" s="212">
        <v>6031</v>
      </c>
      <c r="C26" s="204" t="s">
        <v>141</v>
      </c>
      <c r="D26" s="20"/>
      <c r="E26" s="23"/>
      <c r="F26" s="23"/>
      <c r="G26" s="112">
        <v>150000</v>
      </c>
    </row>
    <row r="27" spans="2:7" ht="15.75">
      <c r="B27" s="212">
        <v>61</v>
      </c>
      <c r="C27" s="204" t="s">
        <v>97</v>
      </c>
      <c r="D27" s="20"/>
      <c r="E27" s="23"/>
      <c r="F27" s="23">
        <v>1430000</v>
      </c>
      <c r="G27" s="112"/>
    </row>
    <row r="28" spans="2:7" ht="15.75">
      <c r="B28" s="212">
        <v>64</v>
      </c>
      <c r="C28" s="204" t="s">
        <v>1</v>
      </c>
      <c r="D28" s="20"/>
      <c r="E28" s="23"/>
      <c r="F28" s="23">
        <v>4250000</v>
      </c>
      <c r="G28" s="112"/>
    </row>
    <row r="29" spans="2:7" ht="15.75">
      <c r="B29" s="212">
        <v>66</v>
      </c>
      <c r="C29" s="204" t="s">
        <v>14</v>
      </c>
      <c r="D29" s="20"/>
      <c r="E29" s="23"/>
      <c r="F29" s="23">
        <v>20000</v>
      </c>
      <c r="G29" s="112"/>
    </row>
    <row r="30" spans="2:7" ht="15.75">
      <c r="B30" s="212">
        <v>675</v>
      </c>
      <c r="C30" s="204" t="s">
        <v>142</v>
      </c>
      <c r="D30" s="20"/>
      <c r="E30" s="23"/>
      <c r="F30" s="23">
        <v>156000</v>
      </c>
      <c r="G30" s="112"/>
    </row>
    <row r="31" spans="2:7" ht="15.75">
      <c r="B31" s="212">
        <v>6811</v>
      </c>
      <c r="C31" s="204" t="s">
        <v>143</v>
      </c>
      <c r="D31" s="20"/>
      <c r="E31" s="23"/>
      <c r="F31" s="23">
        <v>1845000</v>
      </c>
      <c r="G31" s="112"/>
    </row>
    <row r="32" spans="2:7" ht="15.75">
      <c r="B32" s="212">
        <v>695</v>
      </c>
      <c r="C32" s="204" t="s">
        <v>84</v>
      </c>
      <c r="D32" s="20"/>
      <c r="E32" s="23"/>
      <c r="F32" s="23">
        <v>650000</v>
      </c>
      <c r="G32" s="112"/>
    </row>
    <row r="33" spans="2:7" ht="15.75">
      <c r="B33" s="212">
        <v>701</v>
      </c>
      <c r="C33" s="204" t="s">
        <v>98</v>
      </c>
      <c r="D33" s="20"/>
      <c r="E33" s="23"/>
      <c r="F33" s="23"/>
      <c r="G33" s="112">
        <v>17503000</v>
      </c>
    </row>
    <row r="34" spans="2:7" ht="16.5" thickBot="1">
      <c r="B34" s="214">
        <v>775</v>
      </c>
      <c r="C34" s="205" t="s">
        <v>144</v>
      </c>
      <c r="D34" s="215"/>
      <c r="E34" s="99"/>
      <c r="F34" s="99"/>
      <c r="G34" s="113">
        <v>160000</v>
      </c>
    </row>
    <row r="35" spans="2:7" ht="16.5" thickBot="1">
      <c r="B35" s="216" t="s">
        <v>31</v>
      </c>
      <c r="C35" s="217"/>
      <c r="D35" s="8">
        <f>SUM(D5:D34)</f>
        <v>12542000</v>
      </c>
      <c r="E35" s="8">
        <f>SUM(E5:E34)</f>
        <v>12542000</v>
      </c>
      <c r="F35" s="8">
        <f>SUM(F5:F34)</f>
        <v>32367000</v>
      </c>
      <c r="G35" s="8">
        <f>SUM(G5:G34)</f>
        <v>32367000</v>
      </c>
    </row>
  </sheetData>
  <sheetProtection/>
  <mergeCells count="6">
    <mergeCell ref="B35:C35"/>
    <mergeCell ref="B2:G2"/>
    <mergeCell ref="D3:E3"/>
    <mergeCell ref="F3:G3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3.7109375" style="95" customWidth="1"/>
    <col min="2" max="2" width="122.00390625" style="95" bestFit="1" customWidth="1"/>
    <col min="3" max="3" width="24.7109375" style="95" customWidth="1"/>
    <col min="4" max="4" width="20.8515625" style="95" customWidth="1"/>
    <col min="5" max="5" width="21.140625" style="95" customWidth="1"/>
    <col min="6" max="6" width="22.28125" style="95" customWidth="1"/>
    <col min="7" max="7" width="23.28125" style="95" customWidth="1"/>
    <col min="8" max="16384" width="11.421875" style="95" customWidth="1"/>
  </cols>
  <sheetData>
    <row r="1" ht="19.5" customHeight="1" thickBot="1">
      <c r="G1" s="118"/>
    </row>
    <row r="2" spans="2:6" ht="16.5" thickBot="1">
      <c r="B2" s="209" t="s">
        <v>239</v>
      </c>
      <c r="E2" s="16"/>
      <c r="F2" s="206"/>
    </row>
    <row r="3" spans="2:6" ht="4.5" customHeight="1">
      <c r="B3" s="163"/>
      <c r="E3" s="16"/>
      <c r="F3" s="206"/>
    </row>
    <row r="4" spans="2:6" ht="15.75">
      <c r="B4" s="164" t="s">
        <v>234</v>
      </c>
      <c r="E4" s="16"/>
      <c r="F4" s="206"/>
    </row>
    <row r="5" spans="2:6" ht="4.5" customHeight="1">
      <c r="B5" s="164"/>
      <c r="E5" s="16"/>
      <c r="F5" s="206"/>
    </row>
    <row r="6" spans="2:6" s="17" customFormat="1" ht="15.75">
      <c r="B6" s="204" t="s">
        <v>236</v>
      </c>
      <c r="E6" s="207"/>
      <c r="F6" s="208"/>
    </row>
    <row r="7" spans="2:6" s="17" customFormat="1" ht="15.75">
      <c r="B7" s="204" t="s">
        <v>237</v>
      </c>
      <c r="E7" s="207"/>
      <c r="F7" s="208"/>
    </row>
    <row r="8" spans="2:6" s="17" customFormat="1" ht="15.75">
      <c r="B8" s="204" t="s">
        <v>238</v>
      </c>
      <c r="E8" s="207"/>
      <c r="F8" s="208"/>
    </row>
    <row r="9" spans="2:6" s="17" customFormat="1" ht="15.75">
      <c r="B9" s="204"/>
      <c r="E9" s="207"/>
      <c r="F9" s="208"/>
    </row>
    <row r="10" ht="15.75">
      <c r="B10" s="164" t="s">
        <v>235</v>
      </c>
    </row>
    <row r="11" ht="4.5" customHeight="1">
      <c r="B11" s="164"/>
    </row>
    <row r="12" s="17" customFormat="1" ht="15.75">
      <c r="B12" s="204" t="s">
        <v>26</v>
      </c>
    </row>
    <row r="13" s="17" customFormat="1" ht="4.5" customHeight="1">
      <c r="B13" s="204"/>
    </row>
    <row r="14" s="17" customFormat="1" ht="15.75">
      <c r="B14" s="204" t="s">
        <v>240</v>
      </c>
    </row>
    <row r="15" s="17" customFormat="1" ht="15.75">
      <c r="B15" s="204" t="s">
        <v>241</v>
      </c>
    </row>
    <row r="16" s="17" customFormat="1" ht="15.75">
      <c r="B16" s="204" t="s">
        <v>242</v>
      </c>
    </row>
    <row r="17" s="17" customFormat="1" ht="4.5" customHeight="1">
      <c r="B17" s="204"/>
    </row>
    <row r="18" s="17" customFormat="1" ht="15.75">
      <c r="B18" s="204" t="s">
        <v>243</v>
      </c>
    </row>
    <row r="19" s="17" customFormat="1" ht="15.75">
      <c r="B19" s="204" t="s">
        <v>244</v>
      </c>
    </row>
    <row r="20" s="17" customFormat="1" ht="4.5" customHeight="1" thickBot="1">
      <c r="B20" s="205"/>
    </row>
  </sheetData>
  <sheetProtection/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5"/>
  <sheetViews>
    <sheetView showGridLines="0" zoomScalePageLayoutView="0" workbookViewId="0" topLeftCell="A1">
      <selection activeCell="B2" sqref="B2:E2"/>
    </sheetView>
  </sheetViews>
  <sheetFormatPr defaultColWidth="11.421875" defaultRowHeight="12.75"/>
  <cols>
    <col min="1" max="1" width="3.7109375" style="10" customWidth="1"/>
    <col min="2" max="2" width="36.7109375" style="10" customWidth="1"/>
    <col min="3" max="3" width="14.28125" style="10" customWidth="1"/>
    <col min="4" max="4" width="36.7109375" style="10" customWidth="1"/>
    <col min="5" max="5" width="14.28125" style="10" customWidth="1"/>
    <col min="6" max="16384" width="11.421875" style="10" customWidth="1"/>
  </cols>
  <sheetData>
    <row r="1" spans="2:5" ht="15.75" thickBot="1">
      <c r="B1" s="229"/>
      <c r="C1" s="229"/>
      <c r="D1" s="229"/>
      <c r="E1" s="229"/>
    </row>
    <row r="2" spans="2:5" ht="15.75" thickBot="1">
      <c r="B2" s="230" t="s">
        <v>202</v>
      </c>
      <c r="C2" s="231"/>
      <c r="D2" s="231"/>
      <c r="E2" s="232"/>
    </row>
    <row r="3" spans="2:5" ht="15.75" thickBot="1">
      <c r="B3" s="26" t="s">
        <v>36</v>
      </c>
      <c r="C3" s="27" t="s">
        <v>37</v>
      </c>
      <c r="D3" s="28" t="s">
        <v>38</v>
      </c>
      <c r="E3" s="29" t="s">
        <v>37</v>
      </c>
    </row>
    <row r="4" spans="2:5" ht="15.75" thickBot="1">
      <c r="B4" s="30" t="s">
        <v>145</v>
      </c>
      <c r="C4" s="31"/>
      <c r="D4" s="30" t="s">
        <v>146</v>
      </c>
      <c r="E4" s="32"/>
    </row>
    <row r="5" spans="2:5" ht="15">
      <c r="B5" s="33" t="s">
        <v>113</v>
      </c>
      <c r="C5" s="34"/>
      <c r="D5" s="11" t="s">
        <v>115</v>
      </c>
      <c r="E5" s="34"/>
    </row>
    <row r="6" spans="2:5" ht="15">
      <c r="B6" s="33" t="s">
        <v>148</v>
      </c>
      <c r="C6" s="34"/>
      <c r="D6" s="11" t="s">
        <v>116</v>
      </c>
      <c r="E6" s="34">
        <f>Balance!G33</f>
        <v>17503000</v>
      </c>
    </row>
    <row r="7" spans="2:5" ht="15">
      <c r="B7" s="33" t="s">
        <v>147</v>
      </c>
      <c r="C7" s="34">
        <f>Balance!F25</f>
        <v>9000000</v>
      </c>
      <c r="D7" s="11" t="s">
        <v>117</v>
      </c>
      <c r="E7" s="34"/>
    </row>
    <row r="8" spans="2:5" ht="15">
      <c r="B8" s="33" t="s">
        <v>245</v>
      </c>
      <c r="C8" s="34">
        <f>-Balance!G26</f>
        <v>-150000</v>
      </c>
      <c r="D8" s="11" t="s">
        <v>118</v>
      </c>
      <c r="E8" s="34"/>
    </row>
    <row r="9" spans="2:5" ht="15">
      <c r="B9" s="33" t="s">
        <v>39</v>
      </c>
      <c r="C9" s="34">
        <f>Balance!F27</f>
        <v>1430000</v>
      </c>
      <c r="D9" s="11"/>
      <c r="E9" s="34"/>
    </row>
    <row r="10" spans="2:5" ht="15">
      <c r="B10" s="33" t="s">
        <v>149</v>
      </c>
      <c r="C10" s="34"/>
      <c r="D10" s="233" t="s">
        <v>151</v>
      </c>
      <c r="E10" s="34"/>
    </row>
    <row r="11" spans="2:5" ht="15">
      <c r="B11" s="33" t="s">
        <v>40</v>
      </c>
      <c r="C11" s="34">
        <f>Balance!F28</f>
        <v>4250000</v>
      </c>
      <c r="D11" s="233"/>
      <c r="E11" s="36"/>
    </row>
    <row r="12" spans="2:5" ht="15">
      <c r="B12" s="33" t="s">
        <v>114</v>
      </c>
      <c r="C12" s="34"/>
      <c r="D12" s="11"/>
      <c r="E12" s="34"/>
    </row>
    <row r="13" spans="2:5" ht="15">
      <c r="B13" s="33" t="s">
        <v>143</v>
      </c>
      <c r="C13" s="34">
        <f>Balance!F31</f>
        <v>1845000</v>
      </c>
      <c r="D13" s="11" t="s">
        <v>41</v>
      </c>
      <c r="E13" s="34"/>
    </row>
    <row r="14" spans="2:5" ht="15">
      <c r="B14" s="33" t="s">
        <v>150</v>
      </c>
      <c r="C14" s="34"/>
      <c r="D14" s="11"/>
      <c r="E14" s="34"/>
    </row>
    <row r="15" spans="2:5" ht="15.75" thickBot="1">
      <c r="B15" s="33" t="s">
        <v>42</v>
      </c>
      <c r="C15" s="34"/>
      <c r="D15" s="11" t="s">
        <v>43</v>
      </c>
      <c r="E15" s="34"/>
    </row>
    <row r="16" spans="2:5" ht="15.75" thickBot="1">
      <c r="B16" s="37" t="s">
        <v>44</v>
      </c>
      <c r="C16" s="12">
        <f>SUM(C5:C15)</f>
        <v>16375000</v>
      </c>
      <c r="D16" s="14" t="s">
        <v>44</v>
      </c>
      <c r="E16" s="13">
        <f>SUM(E5:E15)</f>
        <v>17503000</v>
      </c>
    </row>
    <row r="17" spans="2:5" ht="15.75" thickBot="1">
      <c r="B17" s="30" t="s">
        <v>45</v>
      </c>
      <c r="C17" s="38"/>
      <c r="D17" s="30" t="s">
        <v>46</v>
      </c>
      <c r="E17" s="39"/>
    </row>
    <row r="18" spans="2:5" ht="15">
      <c r="B18" s="33" t="s">
        <v>119</v>
      </c>
      <c r="C18" s="34"/>
      <c r="D18" s="11" t="s">
        <v>123</v>
      </c>
      <c r="E18" s="34"/>
    </row>
    <row r="19" spans="2:5" ht="15">
      <c r="B19" s="33" t="s">
        <v>120</v>
      </c>
      <c r="C19" s="34">
        <f>Balance!F29</f>
        <v>20000</v>
      </c>
      <c r="D19" s="11" t="s">
        <v>47</v>
      </c>
      <c r="E19" s="34"/>
    </row>
    <row r="20" spans="2:5" ht="15">
      <c r="B20" s="33"/>
      <c r="C20" s="34"/>
      <c r="D20" s="11" t="s">
        <v>124</v>
      </c>
      <c r="E20" s="34"/>
    </row>
    <row r="21" spans="2:5" ht="30">
      <c r="B21" s="33"/>
      <c r="C21" s="34"/>
      <c r="D21" s="55" t="s">
        <v>152</v>
      </c>
      <c r="E21" s="34"/>
    </row>
    <row r="22" spans="2:5" ht="15">
      <c r="B22" s="33" t="s">
        <v>121</v>
      </c>
      <c r="C22" s="36"/>
      <c r="D22" s="11" t="s">
        <v>125</v>
      </c>
      <c r="E22" s="34"/>
    </row>
    <row r="23" spans="2:5" ht="15.75" thickBot="1">
      <c r="B23" s="33" t="s">
        <v>122</v>
      </c>
      <c r="C23" s="41"/>
      <c r="D23" s="11" t="s">
        <v>126</v>
      </c>
      <c r="E23" s="41"/>
    </row>
    <row r="24" spans="2:5" ht="15.75" thickBot="1">
      <c r="B24" s="37" t="s">
        <v>48</v>
      </c>
      <c r="C24" s="13">
        <f>SUM(C18:C21)</f>
        <v>20000</v>
      </c>
      <c r="D24" s="14" t="s">
        <v>48</v>
      </c>
      <c r="E24" s="13">
        <f>SUM(E18:E21)</f>
        <v>0</v>
      </c>
    </row>
    <row r="25" spans="2:5" ht="15.75" thickBot="1">
      <c r="B25" s="30" t="s">
        <v>49</v>
      </c>
      <c r="C25" s="38"/>
      <c r="D25" s="30" t="s">
        <v>50</v>
      </c>
      <c r="E25" s="39"/>
    </row>
    <row r="26" spans="2:5" ht="15">
      <c r="B26" s="33" t="s">
        <v>153</v>
      </c>
      <c r="C26" s="34"/>
      <c r="D26" s="11" t="s">
        <v>155</v>
      </c>
      <c r="E26" s="34"/>
    </row>
    <row r="27" spans="2:5" ht="15">
      <c r="B27" s="33" t="s">
        <v>154</v>
      </c>
      <c r="C27" s="34">
        <f>Balance!F30</f>
        <v>156000</v>
      </c>
      <c r="D27" s="11" t="s">
        <v>156</v>
      </c>
      <c r="E27" s="34">
        <f>Balance!G34</f>
        <v>160000</v>
      </c>
    </row>
    <row r="28" spans="2:5" ht="30">
      <c r="B28" s="33" t="s">
        <v>127</v>
      </c>
      <c r="C28" s="34"/>
      <c r="D28" s="55" t="s">
        <v>157</v>
      </c>
      <c r="E28" s="34"/>
    </row>
    <row r="29" spans="2:5" ht="15.75" thickBot="1">
      <c r="B29" s="33"/>
      <c r="C29" s="42"/>
      <c r="D29" s="11" t="s">
        <v>158</v>
      </c>
      <c r="E29" s="42"/>
    </row>
    <row r="30" spans="2:5" ht="15.75" thickBot="1">
      <c r="B30" s="37" t="s">
        <v>51</v>
      </c>
      <c r="C30" s="43">
        <f>SUM(C26:C29)</f>
        <v>156000</v>
      </c>
      <c r="D30" s="14" t="s">
        <v>51</v>
      </c>
      <c r="E30" s="43">
        <f>SUM(E26:E29)</f>
        <v>160000</v>
      </c>
    </row>
    <row r="31" spans="2:5" ht="15">
      <c r="B31" s="44" t="s">
        <v>52</v>
      </c>
      <c r="C31" s="39"/>
      <c r="D31" s="45"/>
      <c r="E31" s="43"/>
    </row>
    <row r="32" spans="2:5" ht="15.75" thickBot="1">
      <c r="B32" s="46" t="s">
        <v>84</v>
      </c>
      <c r="C32" s="41">
        <f>Balance!F32</f>
        <v>650000</v>
      </c>
      <c r="D32" s="47"/>
      <c r="E32" s="48"/>
    </row>
    <row r="33" spans="2:5" ht="15.75" thickBot="1">
      <c r="B33" s="49" t="s">
        <v>53</v>
      </c>
      <c r="C33" s="50">
        <f>C16+C24+C30+C31+C32</f>
        <v>17201000</v>
      </c>
      <c r="D33" s="51" t="s">
        <v>54</v>
      </c>
      <c r="E33" s="50">
        <f>E16+E24+E30</f>
        <v>17663000</v>
      </c>
    </row>
    <row r="34" spans="2:5" ht="16.5" thickBot="1" thickTop="1">
      <c r="B34" s="37" t="s">
        <v>55</v>
      </c>
      <c r="C34" s="52">
        <f>IF(E33&gt;C33,E33-C33,0)</f>
        <v>462000</v>
      </c>
      <c r="D34" s="14" t="s">
        <v>56</v>
      </c>
      <c r="E34" s="13">
        <f>IF(C33&gt;E33,C33-E33,0)</f>
        <v>0</v>
      </c>
    </row>
    <row r="35" spans="2:5" ht="16.5" thickBot="1" thickTop="1">
      <c r="B35" s="53" t="s">
        <v>57</v>
      </c>
      <c r="C35" s="13">
        <f>C33+C34</f>
        <v>17663000</v>
      </c>
      <c r="D35" s="54" t="s">
        <v>57</v>
      </c>
      <c r="E35" s="13">
        <f>E33+E34</f>
        <v>17663000</v>
      </c>
    </row>
  </sheetData>
  <sheetProtection/>
  <mergeCells count="3">
    <mergeCell ref="B1:E1"/>
    <mergeCell ref="B2:E2"/>
    <mergeCell ref="D10:D1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0"/>
  <sheetViews>
    <sheetView showGridLines="0" zoomScalePageLayoutView="0" workbookViewId="0" topLeftCell="C13">
      <selection activeCell="E29" sqref="E29:E30"/>
    </sheetView>
  </sheetViews>
  <sheetFormatPr defaultColWidth="11.421875" defaultRowHeight="12.75"/>
  <cols>
    <col min="1" max="1" width="3.7109375" style="10" customWidth="1"/>
    <col min="2" max="2" width="34.7109375" style="10" customWidth="1"/>
    <col min="3" max="3" width="14.7109375" style="10" customWidth="1"/>
    <col min="4" max="4" width="34.7109375" style="10" customWidth="1"/>
    <col min="5" max="5" width="14.7109375" style="10" customWidth="1"/>
    <col min="6" max="6" width="34.7109375" style="10" customWidth="1"/>
    <col min="7" max="7" width="14.7109375" style="10" customWidth="1"/>
    <col min="8" max="16384" width="11.421875" style="10" customWidth="1"/>
  </cols>
  <sheetData>
    <row r="1" spans="2:3" ht="15.75" thickBot="1">
      <c r="B1" s="57"/>
      <c r="C1" s="58"/>
    </row>
    <row r="2" spans="2:7" ht="15.75" thickBot="1">
      <c r="B2" s="240" t="s">
        <v>159</v>
      </c>
      <c r="C2" s="241"/>
      <c r="D2" s="241"/>
      <c r="E2" s="241"/>
      <c r="F2" s="241"/>
      <c r="G2" s="242"/>
    </row>
    <row r="3" spans="2:7" ht="15.75" thickBot="1">
      <c r="B3" s="243" t="s">
        <v>58</v>
      </c>
      <c r="C3" s="244"/>
      <c r="D3" s="243" t="s">
        <v>59</v>
      </c>
      <c r="E3" s="245"/>
      <c r="F3" s="246" t="s">
        <v>160</v>
      </c>
      <c r="G3" s="247"/>
    </row>
    <row r="4" spans="2:7" ht="16.5" customHeight="1" thickBot="1">
      <c r="B4" s="61" t="s">
        <v>60</v>
      </c>
      <c r="C4" s="60"/>
      <c r="D4" s="91" t="s">
        <v>61</v>
      </c>
      <c r="E4" s="59"/>
      <c r="F4" s="82" t="s">
        <v>62</v>
      </c>
      <c r="G4" s="74">
        <f>C4-E4</f>
        <v>0</v>
      </c>
    </row>
    <row r="5" spans="2:7" ht="15">
      <c r="B5" s="40" t="s">
        <v>63</v>
      </c>
      <c r="C5" s="36">
        <f>'Tableau de résultat'!E6</f>
        <v>17503000</v>
      </c>
      <c r="D5" s="35"/>
      <c r="E5" s="36"/>
      <c r="F5" s="83"/>
      <c r="G5" s="75"/>
    </row>
    <row r="6" spans="2:7" ht="15">
      <c r="B6" s="40" t="s">
        <v>64</v>
      </c>
      <c r="C6" s="36"/>
      <c r="D6" s="35" t="s">
        <v>65</v>
      </c>
      <c r="E6" s="36"/>
      <c r="F6" s="83"/>
      <c r="G6" s="75"/>
    </row>
    <row r="7" spans="2:7" ht="15.75" thickBot="1">
      <c r="B7" s="61" t="s">
        <v>66</v>
      </c>
      <c r="C7" s="62"/>
      <c r="D7" s="63"/>
      <c r="E7" s="62"/>
      <c r="F7" s="84"/>
      <c r="G7" s="76"/>
    </row>
    <row r="8" spans="2:7" s="69" customFormat="1" ht="15" thickBot="1">
      <c r="B8" s="68" t="s">
        <v>161</v>
      </c>
      <c r="C8" s="59">
        <f>SUM(C5:C7)</f>
        <v>17503000</v>
      </c>
      <c r="D8" s="68" t="s">
        <v>161</v>
      </c>
      <c r="E8" s="67">
        <f>SUM(E5:E7)</f>
        <v>0</v>
      </c>
      <c r="F8" s="85" t="s">
        <v>67</v>
      </c>
      <c r="G8" s="74">
        <f>C8-E8</f>
        <v>17503000</v>
      </c>
    </row>
    <row r="9" spans="2:7" ht="15">
      <c r="B9" s="64" t="s">
        <v>67</v>
      </c>
      <c r="C9" s="65">
        <f>G8</f>
        <v>17503000</v>
      </c>
      <c r="D9" s="248" t="s">
        <v>162</v>
      </c>
      <c r="E9" s="32"/>
      <c r="F9" s="86"/>
      <c r="G9" s="77"/>
    </row>
    <row r="10" spans="2:7" ht="15.75" thickBot="1">
      <c r="B10" s="40" t="s">
        <v>62</v>
      </c>
      <c r="C10" s="36">
        <f>G4</f>
        <v>0</v>
      </c>
      <c r="D10" s="249"/>
      <c r="E10" s="62">
        <f>'Tableau de résultat'!C7+'Tableau de résultat'!C8+'Tableau de résultat'!C9</f>
        <v>10280000</v>
      </c>
      <c r="F10" s="83"/>
      <c r="G10" s="75"/>
    </row>
    <row r="11" spans="2:7" s="69" customFormat="1" ht="15" thickBot="1">
      <c r="B11" s="68" t="s">
        <v>161</v>
      </c>
      <c r="C11" s="59">
        <f>SUM(C9:C10)</f>
        <v>17503000</v>
      </c>
      <c r="D11" s="68" t="s">
        <v>161</v>
      </c>
      <c r="E11" s="60">
        <f>SUM(E10:E10)</f>
        <v>10280000</v>
      </c>
      <c r="F11" s="85" t="s">
        <v>0</v>
      </c>
      <c r="G11" s="74">
        <f>C11-E11</f>
        <v>7223000</v>
      </c>
    </row>
    <row r="12" spans="2:7" ht="15">
      <c r="B12" s="64" t="s">
        <v>0</v>
      </c>
      <c r="C12" s="65">
        <f>G11</f>
        <v>7223000</v>
      </c>
      <c r="D12" s="66" t="s">
        <v>68</v>
      </c>
      <c r="E12" s="65">
        <f>'Tableau de résultat'!C10</f>
        <v>0</v>
      </c>
      <c r="F12" s="87"/>
      <c r="G12" s="77"/>
    </row>
    <row r="13" spans="2:7" ht="15.75" thickBot="1">
      <c r="B13" s="61" t="s">
        <v>41</v>
      </c>
      <c r="C13" s="62"/>
      <c r="D13" s="63" t="s">
        <v>1</v>
      </c>
      <c r="E13" s="62">
        <f>'Tableau de résultat'!C11</f>
        <v>4250000</v>
      </c>
      <c r="F13" s="250" t="s">
        <v>169</v>
      </c>
      <c r="G13" s="78"/>
    </row>
    <row r="14" spans="2:7" s="69" customFormat="1" ht="15" thickBot="1">
      <c r="B14" s="68" t="s">
        <v>161</v>
      </c>
      <c r="C14" s="59">
        <f>SUM(C12:C13)</f>
        <v>7223000</v>
      </c>
      <c r="D14" s="68" t="s">
        <v>161</v>
      </c>
      <c r="E14" s="59">
        <f>SUM(E12:E13)</f>
        <v>4250000</v>
      </c>
      <c r="F14" s="251"/>
      <c r="G14" s="74">
        <f>C14-E14</f>
        <v>2973000</v>
      </c>
    </row>
    <row r="15" spans="2:7" ht="15">
      <c r="B15" s="64" t="s">
        <v>69</v>
      </c>
      <c r="C15" s="65">
        <f>IF(G14&gt;0,G14,0)</f>
        <v>2973000</v>
      </c>
      <c r="D15" s="66" t="s">
        <v>70</v>
      </c>
      <c r="E15" s="65">
        <f>-IF(G14&lt;0,G14,0)</f>
        <v>0</v>
      </c>
      <c r="F15" s="86"/>
      <c r="G15" s="77"/>
    </row>
    <row r="16" spans="2:7" ht="30">
      <c r="B16" s="79" t="s">
        <v>167</v>
      </c>
      <c r="C16" s="36"/>
      <c r="D16" s="81" t="s">
        <v>168</v>
      </c>
      <c r="E16" s="36">
        <f>'Tableau de résultat'!C13</f>
        <v>1845000</v>
      </c>
      <c r="F16" s="83"/>
      <c r="G16" s="75"/>
    </row>
    <row r="17" spans="2:7" ht="15.75" thickBot="1">
      <c r="B17" s="40" t="s">
        <v>71</v>
      </c>
      <c r="C17" s="36"/>
      <c r="D17" s="35" t="s">
        <v>42</v>
      </c>
      <c r="E17" s="36"/>
      <c r="F17" s="83"/>
      <c r="G17" s="75"/>
    </row>
    <row r="18" spans="2:7" s="71" customFormat="1" ht="15" thickBot="1">
      <c r="B18" s="68" t="s">
        <v>161</v>
      </c>
      <c r="C18" s="59">
        <f>SUM(C15:C17)</f>
        <v>2973000</v>
      </c>
      <c r="D18" s="70" t="s">
        <v>161</v>
      </c>
      <c r="E18" s="59">
        <f>SUM(E15:E17)</f>
        <v>1845000</v>
      </c>
      <c r="F18" s="89" t="s">
        <v>72</v>
      </c>
      <c r="G18" s="74">
        <f>C18-E18</f>
        <v>1128000</v>
      </c>
    </row>
    <row r="19" spans="2:7" ht="15">
      <c r="B19" s="64" t="s">
        <v>73</v>
      </c>
      <c r="C19" s="65">
        <f>IF(G18&gt;0,G18,"")</f>
        <v>1128000</v>
      </c>
      <c r="D19" s="66" t="s">
        <v>74</v>
      </c>
      <c r="E19" s="65">
        <f>-IF(G18&lt;0,G18,0)</f>
        <v>0</v>
      </c>
      <c r="F19" s="87"/>
      <c r="G19" s="77"/>
    </row>
    <row r="20" spans="2:7" ht="30">
      <c r="B20" s="79" t="s">
        <v>166</v>
      </c>
      <c r="C20" s="80"/>
      <c r="D20" s="79" t="s">
        <v>166</v>
      </c>
      <c r="E20" s="80"/>
      <c r="F20" s="90"/>
      <c r="G20" s="75"/>
    </row>
    <row r="21" spans="2:7" ht="15.75" thickBot="1">
      <c r="B21" s="61" t="s">
        <v>75</v>
      </c>
      <c r="C21" s="62"/>
      <c r="D21" s="63" t="s">
        <v>14</v>
      </c>
      <c r="E21" s="62">
        <f>'Tableau de résultat'!C19</f>
        <v>20000</v>
      </c>
      <c r="F21" s="88"/>
      <c r="G21" s="78"/>
    </row>
    <row r="22" spans="2:7" s="69" customFormat="1" ht="15" thickBot="1">
      <c r="B22" s="68" t="s">
        <v>161</v>
      </c>
      <c r="C22" s="59">
        <f>SUM(C19:C21)</f>
        <v>1128000</v>
      </c>
      <c r="D22" s="68" t="s">
        <v>161</v>
      </c>
      <c r="E22" s="59">
        <f>SUM(E19:E21)</f>
        <v>20000</v>
      </c>
      <c r="F22" s="85" t="s">
        <v>79</v>
      </c>
      <c r="G22" s="77">
        <f>C22-E22</f>
        <v>1108000</v>
      </c>
    </row>
    <row r="23" spans="2:7" s="69" customFormat="1" ht="15" thickBot="1">
      <c r="B23" s="72" t="s">
        <v>76</v>
      </c>
      <c r="C23" s="59">
        <f>'Tableau de résultat'!E27</f>
        <v>160000</v>
      </c>
      <c r="D23" s="73" t="s">
        <v>77</v>
      </c>
      <c r="E23" s="59">
        <f>'Tableau de résultat'!C27</f>
        <v>156000</v>
      </c>
      <c r="F23" s="85" t="s">
        <v>78</v>
      </c>
      <c r="G23" s="74">
        <f>C23-E23</f>
        <v>4000</v>
      </c>
    </row>
    <row r="24" spans="2:7" ht="15">
      <c r="B24" s="64" t="s">
        <v>79</v>
      </c>
      <c r="C24" s="65">
        <f>IF(G22&gt;0,G22,0)</f>
        <v>1108000</v>
      </c>
      <c r="D24" s="66" t="s">
        <v>80</v>
      </c>
      <c r="E24" s="65">
        <f>-IF(G22&lt;0,G22,0)</f>
        <v>0</v>
      </c>
      <c r="F24" s="86"/>
      <c r="G24" s="77"/>
    </row>
    <row r="25" spans="2:7" ht="15">
      <c r="B25" s="40" t="s">
        <v>81</v>
      </c>
      <c r="C25" s="36">
        <f>IF(G23&gt;0,G23,0)</f>
        <v>4000</v>
      </c>
      <c r="D25" s="35" t="s">
        <v>82</v>
      </c>
      <c r="E25" s="36">
        <f>-IF(G23&lt;0,G23,0)</f>
        <v>0</v>
      </c>
      <c r="F25" s="83"/>
      <c r="G25" s="75"/>
    </row>
    <row r="26" spans="2:7" ht="15">
      <c r="B26" s="40"/>
      <c r="C26" s="36"/>
      <c r="D26" s="35" t="s">
        <v>83</v>
      </c>
      <c r="E26" s="36"/>
      <c r="F26" s="83"/>
      <c r="G26" s="75"/>
    </row>
    <row r="27" spans="2:7" ht="15.75" thickBot="1">
      <c r="B27" s="40"/>
      <c r="C27" s="36"/>
      <c r="D27" s="35" t="s">
        <v>84</v>
      </c>
      <c r="E27" s="36">
        <f>'Tableau de résultat'!C32</f>
        <v>650000</v>
      </c>
      <c r="F27" s="83"/>
      <c r="G27" s="75"/>
    </row>
    <row r="28" spans="2:7" ht="15.75" thickBot="1">
      <c r="B28" s="68" t="s">
        <v>161</v>
      </c>
      <c r="C28" s="59">
        <f>SUM(C24:C27)</f>
        <v>1112000</v>
      </c>
      <c r="D28" s="68" t="s">
        <v>161</v>
      </c>
      <c r="E28" s="59">
        <f>SUM(E24:E27)</f>
        <v>650000</v>
      </c>
      <c r="F28" s="85" t="s">
        <v>85</v>
      </c>
      <c r="G28" s="74">
        <f>C28-E28</f>
        <v>462000</v>
      </c>
    </row>
    <row r="29" spans="2:7" ht="15">
      <c r="B29" s="234" t="s">
        <v>163</v>
      </c>
      <c r="C29" s="276">
        <f>Balance!G34</f>
        <v>160000</v>
      </c>
      <c r="D29" s="234" t="s">
        <v>165</v>
      </c>
      <c r="E29" s="276">
        <f>Balance!F30</f>
        <v>156000</v>
      </c>
      <c r="F29" s="238" t="s">
        <v>164</v>
      </c>
      <c r="G29" s="236">
        <f>C29-E29</f>
        <v>4000</v>
      </c>
    </row>
    <row r="30" spans="2:7" ht="15.75" thickBot="1">
      <c r="B30" s="235"/>
      <c r="C30" s="277"/>
      <c r="D30" s="235"/>
      <c r="E30" s="277"/>
      <c r="F30" s="239"/>
      <c r="G30" s="237"/>
    </row>
  </sheetData>
  <sheetProtection/>
  <mergeCells count="12">
    <mergeCell ref="B2:G2"/>
    <mergeCell ref="B3:C3"/>
    <mergeCell ref="D3:E3"/>
    <mergeCell ref="F3:G3"/>
    <mergeCell ref="D9:D10"/>
    <mergeCell ref="F13:F14"/>
    <mergeCell ref="C29:C30"/>
    <mergeCell ref="B29:B30"/>
    <mergeCell ref="D29:D30"/>
    <mergeCell ref="E29:E30"/>
    <mergeCell ref="G29:G30"/>
    <mergeCell ref="F29:F30"/>
  </mergeCells>
  <printOptions/>
  <pageMargins left="0.1968503937007874" right="0.1968503937007874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46"/>
  <sheetViews>
    <sheetView showGridLines="0" zoomScalePageLayoutView="0" workbookViewId="0" topLeftCell="A1">
      <selection activeCell="B2" sqref="B2:D2"/>
    </sheetView>
  </sheetViews>
  <sheetFormatPr defaultColWidth="11.421875" defaultRowHeight="12.75"/>
  <cols>
    <col min="1" max="1" width="3.7109375" style="2" customWidth="1"/>
    <col min="2" max="2" width="68.28125" style="2" bestFit="1" customWidth="1"/>
    <col min="3" max="4" width="13.7109375" style="2" customWidth="1"/>
    <col min="5" max="16384" width="11.421875" style="2" customWidth="1"/>
  </cols>
  <sheetData>
    <row r="1" ht="16.5" thickBot="1"/>
    <row r="2" spans="2:4" ht="16.5" thickBot="1">
      <c r="B2" s="252" t="s">
        <v>171</v>
      </c>
      <c r="C2" s="253"/>
      <c r="D2" s="254"/>
    </row>
    <row r="3" spans="3:4" ht="16.5" thickBot="1">
      <c r="C3" s="9"/>
      <c r="D3" s="9"/>
    </row>
    <row r="4" spans="2:4" ht="16.5" thickBot="1">
      <c r="B4" s="21" t="s">
        <v>172</v>
      </c>
      <c r="C4" s="101" t="s">
        <v>99</v>
      </c>
      <c r="D4" s="101" t="s">
        <v>100</v>
      </c>
    </row>
    <row r="5" spans="2:4" ht="15.75">
      <c r="B5" s="103" t="s">
        <v>170</v>
      </c>
      <c r="C5" s="104"/>
      <c r="D5" s="104">
        <f>SIG!G14</f>
        <v>2973000</v>
      </c>
    </row>
    <row r="6" spans="2:4" ht="15.75">
      <c r="B6" s="105" t="s">
        <v>173</v>
      </c>
      <c r="C6" s="23"/>
      <c r="D6" s="23"/>
    </row>
    <row r="7" spans="2:4" ht="15.75">
      <c r="B7" s="105" t="s">
        <v>185</v>
      </c>
      <c r="C7" s="23"/>
      <c r="D7" s="23"/>
    </row>
    <row r="8" spans="2:4" ht="15.75">
      <c r="B8" s="105" t="s">
        <v>174</v>
      </c>
      <c r="C8" s="23"/>
      <c r="D8" s="23"/>
    </row>
    <row r="9" spans="2:4" ht="15.75">
      <c r="B9" s="105" t="s">
        <v>175</v>
      </c>
      <c r="C9" s="23"/>
      <c r="D9" s="23"/>
    </row>
    <row r="10" spans="2:4" ht="15.75">
      <c r="B10" s="105" t="s">
        <v>176</v>
      </c>
      <c r="C10" s="23"/>
      <c r="D10" s="23"/>
    </row>
    <row r="11" spans="2:4" ht="15.75">
      <c r="B11" s="105" t="s">
        <v>177</v>
      </c>
      <c r="C11" s="23"/>
      <c r="D11" s="23"/>
    </row>
    <row r="12" spans="2:4" ht="15.75">
      <c r="B12" s="105" t="s">
        <v>178</v>
      </c>
      <c r="C12" s="23"/>
      <c r="D12" s="23"/>
    </row>
    <row r="13" spans="2:4" ht="15.75">
      <c r="B13" s="105" t="s">
        <v>125</v>
      </c>
      <c r="C13" s="23"/>
      <c r="D13" s="23"/>
    </row>
    <row r="14" spans="2:4" ht="15.75">
      <c r="B14" s="105" t="s">
        <v>179</v>
      </c>
      <c r="C14" s="23"/>
      <c r="D14" s="23"/>
    </row>
    <row r="15" spans="2:4" ht="15.75">
      <c r="B15" s="105" t="s">
        <v>180</v>
      </c>
      <c r="C15" s="23"/>
      <c r="D15" s="23"/>
    </row>
    <row r="16" spans="2:4" ht="15.75">
      <c r="B16" s="105" t="s">
        <v>181</v>
      </c>
      <c r="C16" s="23"/>
      <c r="D16" s="23"/>
    </row>
    <row r="17" spans="2:4" ht="15.75">
      <c r="B17" s="105" t="s">
        <v>182</v>
      </c>
      <c r="C17" s="23"/>
      <c r="D17" s="23"/>
    </row>
    <row r="18" spans="2:4" ht="16.5" thickBot="1">
      <c r="B18" s="94" t="s">
        <v>183</v>
      </c>
      <c r="C18" s="99"/>
      <c r="D18" s="99"/>
    </row>
    <row r="19" spans="2:4" ht="16.5" thickBot="1">
      <c r="B19" s="116" t="s">
        <v>184</v>
      </c>
      <c r="C19" s="98"/>
      <c r="D19" s="102">
        <f>SUM(D5:D18)-C5</f>
        <v>2973000</v>
      </c>
    </row>
    <row r="20" spans="2:4" ht="15.75">
      <c r="B20" s="106" t="s">
        <v>186</v>
      </c>
      <c r="C20" s="104"/>
      <c r="D20" s="104"/>
    </row>
    <row r="21" spans="2:4" ht="15.75">
      <c r="B21" s="105" t="s">
        <v>174</v>
      </c>
      <c r="C21" s="23"/>
      <c r="D21" s="23"/>
    </row>
    <row r="22" spans="2:4" ht="15.75">
      <c r="B22" s="105" t="s">
        <v>120</v>
      </c>
      <c r="C22" s="23">
        <f>'Tableau de résultat'!C19</f>
        <v>20000</v>
      </c>
      <c r="D22" s="23"/>
    </row>
    <row r="23" spans="2:4" ht="15.75">
      <c r="B23" s="105" t="s">
        <v>121</v>
      </c>
      <c r="C23" s="23"/>
      <c r="D23" s="23"/>
    </row>
    <row r="24" spans="2:4" ht="15.75">
      <c r="B24" s="105" t="s">
        <v>187</v>
      </c>
      <c r="C24" s="23"/>
      <c r="D24" s="23"/>
    </row>
    <row r="25" spans="2:4" ht="15.75">
      <c r="B25" s="105" t="s">
        <v>188</v>
      </c>
      <c r="C25" s="23"/>
      <c r="D25" s="23"/>
    </row>
    <row r="26" spans="2:4" ht="15.75">
      <c r="B26" s="105" t="s">
        <v>189</v>
      </c>
      <c r="C26" s="23"/>
      <c r="D26" s="23"/>
    </row>
    <row r="27" spans="2:4" ht="15.75">
      <c r="B27" s="105" t="s">
        <v>190</v>
      </c>
      <c r="C27" s="23"/>
      <c r="D27" s="23"/>
    </row>
    <row r="28" spans="2:4" ht="15.75">
      <c r="B28" s="105" t="s">
        <v>83</v>
      </c>
      <c r="C28" s="23"/>
      <c r="D28" s="23"/>
    </row>
    <row r="29" spans="2:4" ht="16.5" thickBot="1">
      <c r="B29" s="94" t="s">
        <v>84</v>
      </c>
      <c r="C29" s="99">
        <f>'Tableau de résultat'!C32</f>
        <v>650000</v>
      </c>
      <c r="D29" s="99"/>
    </row>
    <row r="30" spans="2:4" ht="16.5" thickBot="1">
      <c r="B30" s="109" t="s">
        <v>191</v>
      </c>
      <c r="C30" s="102">
        <f>SUM(C20:C29)</f>
        <v>670000</v>
      </c>
      <c r="D30" s="56"/>
    </row>
    <row r="31" spans="2:4" ht="16.5" thickBot="1">
      <c r="B31" s="107" t="s">
        <v>192</v>
      </c>
      <c r="C31" s="99">
        <f>IF(D19&lt;C30,C30-D19,"")</f>
      </c>
      <c r="D31" s="110">
        <f>IF(D19&gt;C30,D19-C30,"")</f>
        <v>2303000</v>
      </c>
    </row>
    <row r="32" spans="2:4" ht="16.5" thickBot="1">
      <c r="B32" s="17"/>
      <c r="C32" s="17"/>
      <c r="D32" s="17"/>
    </row>
    <row r="33" spans="2:4" ht="16.5" thickBot="1">
      <c r="B33" s="21" t="s">
        <v>193</v>
      </c>
      <c r="C33" s="22" t="s">
        <v>99</v>
      </c>
      <c r="D33" s="108" t="s">
        <v>100</v>
      </c>
    </row>
    <row r="34" spans="2:4" ht="15.75">
      <c r="B34" s="103" t="s">
        <v>101</v>
      </c>
      <c r="C34" s="104"/>
      <c r="D34" s="111">
        <f>'Tableau de résultat'!C34</f>
        <v>462000</v>
      </c>
    </row>
    <row r="35" spans="2:4" ht="15.75">
      <c r="B35" s="105" t="s">
        <v>194</v>
      </c>
      <c r="C35" s="23"/>
      <c r="D35" s="112">
        <f>'Tableau de résultat'!C13</f>
        <v>1845000</v>
      </c>
    </row>
    <row r="36" spans="2:4" ht="15.75">
      <c r="B36" s="105" t="s">
        <v>119</v>
      </c>
      <c r="C36" s="23"/>
      <c r="D36" s="112"/>
    </row>
    <row r="37" spans="2:4" ht="15.75">
      <c r="B37" s="105" t="s">
        <v>195</v>
      </c>
      <c r="C37" s="23"/>
      <c r="D37" s="112"/>
    </row>
    <row r="38" spans="2:4" ht="16.5" thickBot="1">
      <c r="B38" s="94" t="s">
        <v>165</v>
      </c>
      <c r="C38" s="99"/>
      <c r="D38" s="113">
        <f>'Tableau de résultat'!C27</f>
        <v>156000</v>
      </c>
    </row>
    <row r="39" spans="2:4" ht="16.5" thickBot="1">
      <c r="B39" s="114" t="s">
        <v>44</v>
      </c>
      <c r="C39" s="98"/>
      <c r="D39" s="115">
        <f>SUM(D34:D38)-C34</f>
        <v>2463000</v>
      </c>
    </row>
    <row r="40" spans="2:4" ht="15.75">
      <c r="B40" s="106" t="s">
        <v>196</v>
      </c>
      <c r="C40" s="104"/>
      <c r="D40" s="111"/>
    </row>
    <row r="41" spans="2:4" ht="15.75">
      <c r="B41" s="105" t="s">
        <v>197</v>
      </c>
      <c r="C41" s="23"/>
      <c r="D41" s="112"/>
    </row>
    <row r="42" spans="2:4" ht="15.75">
      <c r="B42" s="105" t="s">
        <v>198</v>
      </c>
      <c r="C42" s="23"/>
      <c r="D42" s="112"/>
    </row>
    <row r="43" spans="2:4" ht="15.75">
      <c r="B43" s="105" t="s">
        <v>163</v>
      </c>
      <c r="C43" s="23">
        <f>'Tableau de résultat'!E27</f>
        <v>160000</v>
      </c>
      <c r="D43" s="112"/>
    </row>
    <row r="44" spans="2:4" ht="16.5" thickBot="1">
      <c r="B44" s="94" t="s">
        <v>199</v>
      </c>
      <c r="C44" s="99"/>
      <c r="D44" s="113"/>
    </row>
    <row r="45" spans="2:4" ht="16.5" thickBot="1">
      <c r="B45" s="114" t="s">
        <v>48</v>
      </c>
      <c r="C45" s="102">
        <f>SUM(C40:C44)</f>
        <v>160000</v>
      </c>
      <c r="D45" s="100"/>
    </row>
    <row r="46" spans="2:4" ht="16.5" thickBot="1">
      <c r="B46" s="107" t="s">
        <v>192</v>
      </c>
      <c r="C46" s="99">
        <f>IF(D39&lt;C45,C45-D39,"")</f>
      </c>
      <c r="D46" s="274">
        <f>IF(D39&gt;C45,D39-C45,"")</f>
        <v>2303000</v>
      </c>
    </row>
  </sheetData>
  <sheetProtection/>
  <mergeCells count="1">
    <mergeCell ref="B2:D2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10"/>
  <sheetViews>
    <sheetView showGridLines="0" zoomScalePageLayoutView="0" workbookViewId="0" topLeftCell="A1">
      <selection activeCell="B2" sqref="B2:E2"/>
    </sheetView>
  </sheetViews>
  <sheetFormatPr defaultColWidth="11.421875" defaultRowHeight="12.75"/>
  <cols>
    <col min="1" max="1" width="3.7109375" style="2" customWidth="1"/>
    <col min="2" max="2" width="24.140625" style="2" bestFit="1" customWidth="1"/>
    <col min="3" max="3" width="20.8515625" style="2" customWidth="1"/>
    <col min="4" max="4" width="21.140625" style="2" customWidth="1"/>
    <col min="5" max="5" width="22.28125" style="2" customWidth="1"/>
    <col min="6" max="16384" width="11.421875" style="2" customWidth="1"/>
  </cols>
  <sheetData>
    <row r="1" ht="16.5" thickBot="1"/>
    <row r="2" spans="2:5" ht="16.5" thickBot="1">
      <c r="B2" s="252" t="s">
        <v>200</v>
      </c>
      <c r="C2" s="253"/>
      <c r="D2" s="253"/>
      <c r="E2" s="254"/>
    </row>
    <row r="3" spans="2:6" ht="16.5" thickBot="1">
      <c r="B3" s="22" t="s">
        <v>201</v>
      </c>
      <c r="C3" s="22" t="s">
        <v>2</v>
      </c>
      <c r="D3" s="22" t="s">
        <v>3</v>
      </c>
      <c r="E3" s="22" t="s">
        <v>106</v>
      </c>
      <c r="F3" s="5"/>
    </row>
    <row r="4" spans="2:6" ht="15.75">
      <c r="B4" s="106" t="s">
        <v>246</v>
      </c>
      <c r="C4" s="104">
        <f>Balance!F18</f>
        <v>850000</v>
      </c>
      <c r="D4" s="104">
        <f>Balance!D18</f>
        <v>700000</v>
      </c>
      <c r="E4" s="104">
        <f>C4-D4</f>
        <v>150000</v>
      </c>
      <c r="F4" s="5"/>
    </row>
    <row r="5" spans="2:6" ht="15.75">
      <c r="B5" s="105" t="s">
        <v>102</v>
      </c>
      <c r="C5" s="23">
        <f>Balance!F20</f>
        <v>4650000</v>
      </c>
      <c r="D5" s="23">
        <f>Balance!D20</f>
        <v>2082000</v>
      </c>
      <c r="E5" s="23">
        <f>C5-D5</f>
        <v>2568000</v>
      </c>
      <c r="F5" s="5"/>
    </row>
    <row r="6" spans="2:6" ht="15.75">
      <c r="B6" s="105" t="s">
        <v>103</v>
      </c>
      <c r="C6" s="23">
        <f>-Balance!G19</f>
        <v>-1580000</v>
      </c>
      <c r="D6" s="23">
        <f>-Balance!E19</f>
        <v>-1500000</v>
      </c>
      <c r="E6" s="23">
        <f>C6-D6</f>
        <v>-80000</v>
      </c>
      <c r="F6" s="5"/>
    </row>
    <row r="7" spans="2:6" ht="15.75">
      <c r="B7" s="105" t="s">
        <v>104</v>
      </c>
      <c r="C7" s="23">
        <f>-Balance!G21</f>
        <v>-167000</v>
      </c>
      <c r="D7" s="23">
        <f>-Balance!E21</f>
        <v>-150000</v>
      </c>
      <c r="E7" s="23">
        <f>C7-D7</f>
        <v>-17000</v>
      </c>
      <c r="F7" s="5"/>
    </row>
    <row r="8" spans="2:6" ht="16.5" thickBot="1">
      <c r="B8" s="94" t="s">
        <v>105</v>
      </c>
      <c r="C8" s="99">
        <f>-Balance!G23</f>
        <v>-86000</v>
      </c>
      <c r="D8" s="99">
        <f>-Balance!E23</f>
        <v>-75000</v>
      </c>
      <c r="E8" s="99">
        <f>C8-D8</f>
        <v>-11000</v>
      </c>
      <c r="F8" s="5"/>
    </row>
    <row r="9" spans="2:6" ht="16.5" thickBot="1">
      <c r="B9" s="25" t="s">
        <v>220</v>
      </c>
      <c r="C9" s="117">
        <f>SUM(C4:C8)</f>
        <v>3667000</v>
      </c>
      <c r="D9" s="117">
        <f>SUM(D4:D8)</f>
        <v>1057000</v>
      </c>
      <c r="E9" s="161">
        <f>SUM(E4:E8)</f>
        <v>2610000</v>
      </c>
      <c r="F9" s="5"/>
    </row>
    <row r="10" spans="2:6" ht="15.75">
      <c r="B10" s="5"/>
      <c r="C10" s="5"/>
      <c r="D10" s="5"/>
      <c r="E10" s="5"/>
      <c r="F10" s="5"/>
    </row>
  </sheetData>
  <sheetProtection/>
  <mergeCells count="1">
    <mergeCell ref="B2:E2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1"/>
  <sheetViews>
    <sheetView showGridLines="0" zoomScalePageLayoutView="0" workbookViewId="0" topLeftCell="A1">
      <selection activeCell="G20" sqref="G20"/>
    </sheetView>
  </sheetViews>
  <sheetFormatPr defaultColWidth="11.421875" defaultRowHeight="12.75"/>
  <cols>
    <col min="1" max="1" width="3.7109375" style="2" customWidth="1"/>
    <col min="2" max="2" width="22.7109375" style="2" customWidth="1"/>
    <col min="3" max="3" width="20.7109375" style="2" customWidth="1"/>
    <col min="4" max="4" width="6.57421875" style="2" customWidth="1"/>
    <col min="5" max="5" width="20.7109375" style="2" customWidth="1"/>
    <col min="6" max="6" width="5.7109375" style="2" customWidth="1"/>
    <col min="7" max="7" width="15.7109375" style="2" customWidth="1"/>
    <col min="8" max="16384" width="11.421875" style="2" customWidth="1"/>
  </cols>
  <sheetData>
    <row r="1" ht="16.5" thickBot="1"/>
    <row r="2" spans="2:7" ht="16.5" thickBot="1">
      <c r="B2" s="252" t="s">
        <v>203</v>
      </c>
      <c r="C2" s="253"/>
      <c r="D2" s="253"/>
      <c r="E2" s="253"/>
      <c r="F2" s="253"/>
      <c r="G2" s="254"/>
    </row>
    <row r="3" ht="16.5" thickBot="1"/>
    <row r="4" spans="2:8" s="119" customFormat="1" ht="16.5" thickBot="1">
      <c r="B4" s="255" t="s">
        <v>204</v>
      </c>
      <c r="C4" s="256"/>
      <c r="D4" s="256"/>
      <c r="E4" s="256"/>
      <c r="F4" s="256"/>
      <c r="G4" s="257"/>
      <c r="H4" s="120"/>
    </row>
    <row r="5" spans="2:8" ht="15.75">
      <c r="B5" s="123" t="s">
        <v>207</v>
      </c>
      <c r="C5" s="124" t="s">
        <v>5</v>
      </c>
      <c r="D5" s="124" t="s">
        <v>206</v>
      </c>
      <c r="E5" s="124" t="s">
        <v>111</v>
      </c>
      <c r="F5" s="124"/>
      <c r="G5" s="122"/>
      <c r="H5" s="5"/>
    </row>
    <row r="6" spans="2:8" ht="16.5" thickBot="1">
      <c r="B6" s="125"/>
      <c r="C6" s="126">
        <f>SIG!G14</f>
        <v>2973000</v>
      </c>
      <c r="D6" s="126" t="s">
        <v>206</v>
      </c>
      <c r="E6" s="126">
        <f>'Variation BFRE'!E9</f>
        <v>2610000</v>
      </c>
      <c r="F6" s="126" t="s">
        <v>214</v>
      </c>
      <c r="G6" s="142">
        <f>C6-E6</f>
        <v>363000</v>
      </c>
      <c r="H6" s="5"/>
    </row>
    <row r="7" spans="2:8" ht="16.5" thickBot="1">
      <c r="B7" s="5"/>
      <c r="C7" s="5"/>
      <c r="D7" s="5"/>
      <c r="E7" s="5"/>
      <c r="F7" s="5"/>
      <c r="G7" s="5"/>
      <c r="H7" s="5"/>
    </row>
    <row r="8" spans="2:8" s="119" customFormat="1" ht="16.5" thickBot="1">
      <c r="B8" s="258" t="s">
        <v>205</v>
      </c>
      <c r="C8" s="259"/>
      <c r="D8" s="259"/>
      <c r="E8" s="256"/>
      <c r="F8" s="259"/>
      <c r="G8" s="260"/>
      <c r="H8" s="120"/>
    </row>
    <row r="9" spans="2:7" ht="15.75">
      <c r="B9" s="92" t="s">
        <v>6</v>
      </c>
      <c r="C9" s="127"/>
      <c r="D9" s="121"/>
      <c r="E9" s="111">
        <f>Balance!D20</f>
        <v>2082000</v>
      </c>
      <c r="F9" s="136"/>
      <c r="G9" s="137"/>
    </row>
    <row r="10" spans="2:7" ht="15.75">
      <c r="B10" s="18" t="s">
        <v>211</v>
      </c>
      <c r="C10" s="95"/>
      <c r="D10" s="129"/>
      <c r="E10" s="112">
        <f>'Tableau de résultat'!E6*1.196</f>
        <v>20933588</v>
      </c>
      <c r="F10" s="138"/>
      <c r="G10" s="139"/>
    </row>
    <row r="11" spans="2:7" ht="16.5" thickBot="1">
      <c r="B11" s="18" t="s">
        <v>7</v>
      </c>
      <c r="C11" s="95"/>
      <c r="D11" s="129"/>
      <c r="E11" s="112">
        <f>-Balance!F20</f>
        <v>-4650000</v>
      </c>
      <c r="F11" s="138"/>
      <c r="G11" s="139"/>
    </row>
    <row r="12" spans="2:7" ht="16.5" thickBot="1">
      <c r="B12" s="18"/>
      <c r="C12" s="128"/>
      <c r="D12" s="130" t="s">
        <v>209</v>
      </c>
      <c r="E12" s="102">
        <f>SUM(E9:E11)</f>
        <v>18365588</v>
      </c>
      <c r="F12" s="140"/>
      <c r="G12" s="139">
        <f>E12</f>
        <v>18365588</v>
      </c>
    </row>
    <row r="13" spans="2:7" ht="15.75">
      <c r="B13" s="18" t="s">
        <v>8</v>
      </c>
      <c r="C13" s="95"/>
      <c r="D13" s="129"/>
      <c r="E13" s="112">
        <f>Balance!E19+Balance!E21+Balance!E23</f>
        <v>1725000</v>
      </c>
      <c r="F13" s="138"/>
      <c r="G13" s="139"/>
    </row>
    <row r="14" spans="2:7" ht="15.75">
      <c r="B14" s="18" t="s">
        <v>212</v>
      </c>
      <c r="C14" s="95"/>
      <c r="D14" s="129"/>
      <c r="E14" s="112">
        <f>'Tableau de résultat'!C7*1.196</f>
        <v>10764000</v>
      </c>
      <c r="F14" s="138"/>
      <c r="G14" s="139"/>
    </row>
    <row r="15" spans="2:7" ht="15.75">
      <c r="B15" s="18" t="s">
        <v>213</v>
      </c>
      <c r="C15" s="95"/>
      <c r="D15" s="129"/>
      <c r="E15" s="112">
        <f>'Tableau de résultat'!C9*1.196</f>
        <v>1710280</v>
      </c>
      <c r="F15" s="138"/>
      <c r="G15" s="139"/>
    </row>
    <row r="16" spans="2:7" ht="15.75">
      <c r="B16" s="18" t="s">
        <v>9</v>
      </c>
      <c r="C16" s="95"/>
      <c r="D16" s="129"/>
      <c r="E16" s="112">
        <f>'Tableau de résultat'!C11</f>
        <v>4250000</v>
      </c>
      <c r="F16" s="138"/>
      <c r="G16" s="139"/>
    </row>
    <row r="17" spans="2:7" ht="15.75">
      <c r="B17" s="264" t="s">
        <v>10</v>
      </c>
      <c r="C17" s="265"/>
      <c r="D17" s="266"/>
      <c r="E17" s="112">
        <f>(E10/1.196*0.196)-((E14+E15)/1.196*0.196)</f>
        <v>1386308</v>
      </c>
      <c r="F17" s="138"/>
      <c r="G17" s="139"/>
    </row>
    <row r="18" spans="2:7" ht="16.5" thickBot="1">
      <c r="B18" s="18" t="s">
        <v>11</v>
      </c>
      <c r="C18" s="95"/>
      <c r="D18" s="129"/>
      <c r="E18" s="112">
        <f>-Balance!G19-Balance!G21-Balance!G23</f>
        <v>-1833000</v>
      </c>
      <c r="F18" s="138"/>
      <c r="G18" s="139"/>
    </row>
    <row r="19" spans="2:7" ht="16.5" thickBot="1">
      <c r="B19" s="131"/>
      <c r="C19" s="132"/>
      <c r="D19" s="133" t="s">
        <v>210</v>
      </c>
      <c r="E19" s="102">
        <f>SUM(E13:E18)</f>
        <v>18002588</v>
      </c>
      <c r="F19" s="141"/>
      <c r="G19" s="142">
        <f>E19</f>
        <v>18002588</v>
      </c>
    </row>
    <row r="20" spans="2:7" ht="16.5" thickBot="1">
      <c r="B20" s="261" t="s">
        <v>208</v>
      </c>
      <c r="C20" s="262"/>
      <c r="D20" s="262"/>
      <c r="E20" s="263"/>
      <c r="F20" s="143"/>
      <c r="G20" s="144">
        <f>G12-G19</f>
        <v>363000</v>
      </c>
    </row>
    <row r="21" spans="2:8" ht="19.5" customHeight="1">
      <c r="B21" s="95"/>
      <c r="C21" s="95"/>
      <c r="D21" s="95"/>
      <c r="E21" s="95"/>
      <c r="F21" s="95"/>
      <c r="G21" s="95"/>
      <c r="H21" s="5"/>
    </row>
  </sheetData>
  <sheetProtection/>
  <mergeCells count="5">
    <mergeCell ref="B2:G2"/>
    <mergeCell ref="B4:G4"/>
    <mergeCell ref="B8:G8"/>
    <mergeCell ref="B20:E20"/>
    <mergeCell ref="B17:D17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27"/>
  <sheetViews>
    <sheetView showGridLines="0" tabSelected="1" zoomScalePageLayoutView="0" workbookViewId="0" topLeftCell="A1">
      <selection activeCell="C22" sqref="C22"/>
    </sheetView>
  </sheetViews>
  <sheetFormatPr defaultColWidth="11.421875" defaultRowHeight="12.75"/>
  <cols>
    <col min="1" max="1" width="3.7109375" style="2" customWidth="1"/>
    <col min="2" max="2" width="30.7109375" style="2" customWidth="1"/>
    <col min="3" max="5" width="18.7109375" style="2" customWidth="1"/>
    <col min="6" max="16384" width="11.421875" style="2" customWidth="1"/>
  </cols>
  <sheetData>
    <row r="1" spans="2:6" ht="16.5" thickBot="1">
      <c r="B1" s="95"/>
      <c r="C1" s="95"/>
      <c r="D1" s="95"/>
      <c r="E1" s="95"/>
      <c r="F1" s="5"/>
    </row>
    <row r="2" spans="2:6" ht="16.5" thickBot="1">
      <c r="B2" s="267" t="s">
        <v>215</v>
      </c>
      <c r="C2" s="268"/>
      <c r="D2" s="268"/>
      <c r="E2" s="269"/>
      <c r="F2" s="5"/>
    </row>
    <row r="3" spans="2:6" ht="16.5" thickBot="1">
      <c r="B3" s="19" t="s">
        <v>201</v>
      </c>
      <c r="C3" s="22" t="s">
        <v>2</v>
      </c>
      <c r="D3" s="22" t="s">
        <v>3</v>
      </c>
      <c r="E3" s="22" t="s">
        <v>106</v>
      </c>
      <c r="F3" s="5"/>
    </row>
    <row r="4" spans="2:6" ht="15.75">
      <c r="B4" s="149" t="s">
        <v>218</v>
      </c>
      <c r="C4" s="146"/>
      <c r="D4" s="146"/>
      <c r="E4" s="146"/>
      <c r="F4" s="5"/>
    </row>
    <row r="5" spans="2:6" ht="15.75">
      <c r="B5" s="152" t="s">
        <v>27</v>
      </c>
      <c r="C5" s="153">
        <f>Balance!G5</f>
        <v>4200000</v>
      </c>
      <c r="D5" s="153">
        <f>Balance!E5</f>
        <v>4000000</v>
      </c>
      <c r="E5" s="153">
        <f>C5-D5</f>
        <v>200000</v>
      </c>
      <c r="F5" s="5"/>
    </row>
    <row r="6" spans="2:6" ht="15.75">
      <c r="B6" s="152" t="s">
        <v>86</v>
      </c>
      <c r="C6" s="153">
        <f>Balance!G6</f>
        <v>400000</v>
      </c>
      <c r="D6" s="153">
        <f>Balance!E6</f>
        <v>398000</v>
      </c>
      <c r="E6" s="153">
        <f aca="true" t="shared" si="0" ref="E6:E11">C6-D6</f>
        <v>2000</v>
      </c>
      <c r="F6" s="5"/>
    </row>
    <row r="7" spans="2:6" ht="15.75">
      <c r="B7" s="152" t="s">
        <v>89</v>
      </c>
      <c r="C7" s="153">
        <f>Balance!G7</f>
        <v>1550000</v>
      </c>
      <c r="D7" s="153">
        <f>Balance!E7</f>
        <v>1500000</v>
      </c>
      <c r="E7" s="153">
        <f t="shared" si="0"/>
        <v>50000</v>
      </c>
      <c r="F7" s="5"/>
    </row>
    <row r="8" spans="2:6" ht="15.75">
      <c r="B8" s="152" t="s">
        <v>28</v>
      </c>
      <c r="C8" s="153">
        <f>SUM(Balance!G25:G34)-SUM(Balance!F25:F34)</f>
        <v>462000</v>
      </c>
      <c r="D8" s="153">
        <f>Balance!E8</f>
        <v>243000</v>
      </c>
      <c r="E8" s="153">
        <f t="shared" si="0"/>
        <v>219000</v>
      </c>
      <c r="F8" s="5"/>
    </row>
    <row r="9" spans="2:7" ht="15.75">
      <c r="B9" s="105" t="s">
        <v>29</v>
      </c>
      <c r="C9" s="153">
        <f>Balance!G9</f>
        <v>180000</v>
      </c>
      <c r="D9" s="153">
        <f>Balance!E9</f>
        <v>200000</v>
      </c>
      <c r="E9" s="153">
        <f t="shared" si="0"/>
        <v>-20000</v>
      </c>
      <c r="F9" s="5"/>
      <c r="G9" s="278"/>
    </row>
    <row r="10" spans="2:6" ht="15.75">
      <c r="B10" s="105" t="s">
        <v>30</v>
      </c>
      <c r="C10" s="153"/>
      <c r="D10" s="153"/>
      <c r="E10" s="153"/>
      <c r="F10" s="5"/>
    </row>
    <row r="11" spans="2:6" ht="16.5" thickBot="1">
      <c r="B11" s="131" t="s">
        <v>247</v>
      </c>
      <c r="C11" s="154">
        <f>Balance!G14+Balance!G15+Balance!G16+Balance!G17</f>
        <v>6221000</v>
      </c>
      <c r="D11" s="154">
        <f>Balance!E14+Balance!E15+Balance!E16+Balance!E17</f>
        <v>4420000</v>
      </c>
      <c r="E11" s="154">
        <f t="shared" si="0"/>
        <v>1801000</v>
      </c>
      <c r="F11" s="5"/>
    </row>
    <row r="12" spans="2:6" ht="16.5" thickBot="1">
      <c r="B12" s="96" t="s">
        <v>31</v>
      </c>
      <c r="C12" s="145">
        <f>SUM(C5:C11)-C10</f>
        <v>13013000</v>
      </c>
      <c r="D12" s="145">
        <f>SUM(D5:D11)-D10</f>
        <v>10761000</v>
      </c>
      <c r="E12" s="145">
        <f>SUM(E5:E11)-E10</f>
        <v>2252000</v>
      </c>
      <c r="F12" s="5"/>
    </row>
    <row r="13" spans="2:6" ht="15.75">
      <c r="B13" s="149" t="s">
        <v>217</v>
      </c>
      <c r="C13" s="150"/>
      <c r="D13" s="150"/>
      <c r="E13" s="150"/>
      <c r="F13" s="5"/>
    </row>
    <row r="14" spans="2:6" ht="16.5" thickBot="1">
      <c r="B14" s="105" t="s">
        <v>32</v>
      </c>
      <c r="C14" s="153">
        <f>Balance!F10+Balance!F11+Balance!F12+Balance!F13</f>
        <v>9510000</v>
      </c>
      <c r="D14" s="153">
        <f>SUM(Balance!D10:D13)</f>
        <v>9640000</v>
      </c>
      <c r="E14" s="153">
        <f>C14-D14</f>
        <v>-130000</v>
      </c>
      <c r="F14" s="5"/>
    </row>
    <row r="15" spans="2:6" ht="16.5" thickBot="1">
      <c r="B15" s="25" t="s">
        <v>219</v>
      </c>
      <c r="C15" s="147">
        <f>C12-C14</f>
        <v>3503000</v>
      </c>
      <c r="D15" s="147">
        <f>D12-D14</f>
        <v>1121000</v>
      </c>
      <c r="E15" s="155">
        <f>E12-E14</f>
        <v>2382000</v>
      </c>
      <c r="F15" s="5"/>
    </row>
    <row r="16" spans="2:6" ht="16.5" thickBot="1">
      <c r="B16" s="160"/>
      <c r="C16" s="159"/>
      <c r="D16" s="159"/>
      <c r="E16" s="159"/>
      <c r="F16" s="5"/>
    </row>
    <row r="17" spans="2:6" ht="16.5" thickBot="1">
      <c r="B17" s="267" t="s">
        <v>216</v>
      </c>
      <c r="C17" s="269"/>
      <c r="D17" s="156"/>
      <c r="E17" s="156"/>
      <c r="F17" s="5"/>
    </row>
    <row r="18" spans="2:6" ht="15.75">
      <c r="B18" s="92" t="s">
        <v>192</v>
      </c>
      <c r="C18" s="158">
        <f>CAF!D31</f>
        <v>2303000</v>
      </c>
      <c r="D18" s="119"/>
      <c r="E18" s="160"/>
      <c r="F18" s="5"/>
    </row>
    <row r="19" spans="2:6" ht="15.75">
      <c r="B19" s="18" t="s">
        <v>17</v>
      </c>
      <c r="C19" s="153">
        <f>E5</f>
        <v>200000</v>
      </c>
      <c r="E19" s="95"/>
      <c r="F19" s="5"/>
    </row>
    <row r="20" spans="2:6" ht="15.75">
      <c r="B20" s="18" t="s">
        <v>110</v>
      </c>
      <c r="C20" s="153">
        <f>Balance!G34</f>
        <v>160000</v>
      </c>
      <c r="E20" s="95"/>
      <c r="F20" s="5"/>
    </row>
    <row r="21" spans="2:6" ht="15.75">
      <c r="B21" s="18" t="s">
        <v>18</v>
      </c>
      <c r="C21" s="153">
        <f>E9</f>
        <v>-20000</v>
      </c>
      <c r="E21" s="95"/>
      <c r="F21" s="5"/>
    </row>
    <row r="22" spans="2:6" ht="15.75">
      <c r="B22" s="18" t="s">
        <v>107</v>
      </c>
      <c r="C22" s="153">
        <f>Balance!D13-Balance!F13+Balance!D12-Balance!F12</f>
        <v>-70000</v>
      </c>
      <c r="D22" s="278"/>
      <c r="E22" s="95"/>
      <c r="F22" s="5"/>
    </row>
    <row r="23" spans="2:6" ht="16.5" thickBot="1">
      <c r="B23" s="18" t="s">
        <v>108</v>
      </c>
      <c r="C23" s="153">
        <f>-Balance!E8+(E6+E7)</f>
        <v>-191000</v>
      </c>
      <c r="E23" s="95"/>
      <c r="F23" s="5"/>
    </row>
    <row r="24" spans="2:6" ht="16.5" thickBot="1">
      <c r="B24" s="157" t="s">
        <v>219</v>
      </c>
      <c r="C24" s="155">
        <f>SUM(C18:C23)</f>
        <v>2382000</v>
      </c>
      <c r="D24" s="275"/>
      <c r="E24" s="15"/>
      <c r="F24" s="5"/>
    </row>
    <row r="25" spans="2:6" ht="15.75">
      <c r="B25" s="95"/>
      <c r="C25" s="95"/>
      <c r="D25" s="5"/>
      <c r="E25" s="95"/>
      <c r="F25" s="5"/>
    </row>
    <row r="26" spans="2:6" ht="15.75">
      <c r="B26" s="95"/>
      <c r="C26" s="95"/>
      <c r="D26" s="5"/>
      <c r="E26" s="95"/>
      <c r="F26" s="5"/>
    </row>
    <row r="27" spans="2:6" ht="15.75">
      <c r="B27" s="95"/>
      <c r="C27" s="95"/>
      <c r="D27" s="5"/>
      <c r="E27" s="95"/>
      <c r="F27" s="5"/>
    </row>
  </sheetData>
  <sheetProtection/>
  <mergeCells count="2">
    <mergeCell ref="B2:E2"/>
    <mergeCell ref="B17:C17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51"/>
  <sheetViews>
    <sheetView showGridLines="0" zoomScalePageLayoutView="0" workbookViewId="0" topLeftCell="A1">
      <selection activeCell="I7" sqref="I7"/>
    </sheetView>
  </sheetViews>
  <sheetFormatPr defaultColWidth="11.421875" defaultRowHeight="12.75"/>
  <cols>
    <col min="1" max="1" width="3.7109375" style="2" customWidth="1"/>
    <col min="2" max="2" width="34.7109375" style="2" customWidth="1"/>
    <col min="3" max="5" width="15.7109375" style="2" customWidth="1"/>
    <col min="6" max="16384" width="11.421875" style="2" customWidth="1"/>
  </cols>
  <sheetData>
    <row r="1" spans="2:6" ht="16.5" thickBot="1">
      <c r="B1" s="95"/>
      <c r="C1" s="95"/>
      <c r="D1" s="95"/>
      <c r="E1" s="95"/>
      <c r="F1" s="5"/>
    </row>
    <row r="2" spans="2:6" ht="16.5" thickBot="1">
      <c r="B2" s="267" t="s">
        <v>222</v>
      </c>
      <c r="C2" s="268"/>
      <c r="D2" s="268"/>
      <c r="E2" s="269"/>
      <c r="F2" s="5"/>
    </row>
    <row r="3" spans="2:6" ht="16.5" thickBot="1">
      <c r="B3" s="95"/>
      <c r="C3" s="95"/>
      <c r="D3" s="5"/>
      <c r="E3" s="95"/>
      <c r="F3" s="5"/>
    </row>
    <row r="4" spans="2:6" ht="16.5" thickBot="1">
      <c r="B4" s="255" t="s">
        <v>223</v>
      </c>
      <c r="C4" s="256"/>
      <c r="D4" s="256"/>
      <c r="E4" s="257"/>
      <c r="F4" s="5"/>
    </row>
    <row r="5" spans="2:6" ht="16.5" thickBot="1">
      <c r="B5" s="143" t="s">
        <v>201</v>
      </c>
      <c r="C5" s="25" t="s">
        <v>2</v>
      </c>
      <c r="D5" s="25" t="s">
        <v>3</v>
      </c>
      <c r="E5" s="166" t="s">
        <v>4</v>
      </c>
      <c r="F5" s="5"/>
    </row>
    <row r="6" spans="2:6" ht="15.75">
      <c r="B6" s="92" t="s">
        <v>12</v>
      </c>
      <c r="C6" s="104"/>
      <c r="D6" s="104"/>
      <c r="E6" s="111">
        <f>C6-D6</f>
        <v>0</v>
      </c>
      <c r="F6" s="5"/>
    </row>
    <row r="7" spans="2:6" ht="16.5" thickBot="1">
      <c r="B7" s="131" t="s">
        <v>13</v>
      </c>
      <c r="C7" s="99">
        <f>-Balance!G22</f>
        <v>-170000</v>
      </c>
      <c r="D7" s="99">
        <f>-Balance!E22</f>
        <v>-56000</v>
      </c>
      <c r="E7" s="113">
        <f>C7-D7</f>
        <v>-114000</v>
      </c>
      <c r="F7" s="5"/>
    </row>
    <row r="8" spans="2:6" ht="16.5" thickBot="1">
      <c r="B8" s="165" t="s">
        <v>221</v>
      </c>
      <c r="C8" s="167">
        <f>SUM(C6:C7)</f>
        <v>-170000</v>
      </c>
      <c r="D8" s="167">
        <f>SUM(D6:D7)</f>
        <v>-56000</v>
      </c>
      <c r="E8" s="144">
        <f>SUM(E6:E7)</f>
        <v>-114000</v>
      </c>
      <c r="F8" s="5"/>
    </row>
    <row r="9" spans="2:6" ht="16.5" thickBot="1">
      <c r="B9" s="5"/>
      <c r="C9" s="5"/>
      <c r="D9" s="5"/>
      <c r="E9" s="5"/>
      <c r="F9" s="5"/>
    </row>
    <row r="10" spans="2:6" ht="16.5" thickBot="1">
      <c r="B10" s="255" t="s">
        <v>224</v>
      </c>
      <c r="C10" s="257"/>
      <c r="D10" s="5"/>
      <c r="E10" s="5"/>
      <c r="F10" s="5"/>
    </row>
    <row r="11" spans="2:6" ht="15.75">
      <c r="B11" s="168" t="s">
        <v>225</v>
      </c>
      <c r="C11" s="104">
        <f>'Variation FRNG'!E15</f>
        <v>2382000</v>
      </c>
      <c r="D11" s="5"/>
      <c r="E11" s="5"/>
      <c r="F11" s="5"/>
    </row>
    <row r="12" spans="2:6" ht="15.75">
      <c r="B12" s="169" t="s">
        <v>226</v>
      </c>
      <c r="C12" s="23">
        <f>-'Variation BFRE'!E9</f>
        <v>-2610000</v>
      </c>
      <c r="D12" s="5"/>
      <c r="E12" s="5"/>
      <c r="F12" s="5"/>
    </row>
    <row r="13" spans="2:6" ht="16.5" thickBot="1">
      <c r="B13" s="169" t="s">
        <v>21</v>
      </c>
      <c r="C13" s="23">
        <f>-E8</f>
        <v>114000</v>
      </c>
      <c r="D13" s="5"/>
      <c r="E13" s="5"/>
      <c r="F13" s="5"/>
    </row>
    <row r="14" spans="2:6" ht="16.5" thickBot="1">
      <c r="B14" s="143" t="s">
        <v>224</v>
      </c>
      <c r="C14" s="134">
        <f>SUM(C11:C13)</f>
        <v>-114000</v>
      </c>
      <c r="D14" s="5"/>
      <c r="E14" s="5"/>
      <c r="F14" s="5"/>
    </row>
    <row r="15" spans="2:6" ht="16.5" thickBot="1">
      <c r="B15" s="5"/>
      <c r="C15" s="148"/>
      <c r="D15" s="162"/>
      <c r="E15" s="5"/>
      <c r="F15" s="5"/>
    </row>
    <row r="16" spans="2:6" ht="16.5" thickBot="1">
      <c r="B16" s="255" t="s">
        <v>227</v>
      </c>
      <c r="C16" s="256"/>
      <c r="D16" s="256"/>
      <c r="E16" s="257"/>
      <c r="F16" s="5"/>
    </row>
    <row r="17" spans="2:6" ht="16.5" thickBot="1">
      <c r="B17" s="143" t="s">
        <v>201</v>
      </c>
      <c r="C17" s="25" t="s">
        <v>2</v>
      </c>
      <c r="D17" s="25" t="s">
        <v>3</v>
      </c>
      <c r="E17" s="166" t="s">
        <v>4</v>
      </c>
      <c r="F17" s="5"/>
    </row>
    <row r="18" spans="2:6" ht="15.75">
      <c r="B18" s="92" t="s">
        <v>19</v>
      </c>
      <c r="C18" s="104">
        <f>Balance!F24</f>
        <v>6000</v>
      </c>
      <c r="D18" s="104">
        <f>Balance!D24</f>
        <v>120000</v>
      </c>
      <c r="E18" s="111">
        <f>C18-D18</f>
        <v>-114000</v>
      </c>
      <c r="F18" s="5"/>
    </row>
    <row r="19" spans="2:6" ht="16.5" thickBot="1">
      <c r="B19" s="131" t="s">
        <v>20</v>
      </c>
      <c r="C19" s="99"/>
      <c r="D19" s="99"/>
      <c r="E19" s="113">
        <f>C19-D19</f>
        <v>0</v>
      </c>
      <c r="F19" s="5"/>
    </row>
    <row r="20" spans="2:6" ht="16.5" thickBot="1">
      <c r="B20" s="143" t="s">
        <v>224</v>
      </c>
      <c r="C20" s="167">
        <f>SUM(C18:C19)</f>
        <v>6000</v>
      </c>
      <c r="D20" s="167">
        <f>SUM(D18:D19)</f>
        <v>120000</v>
      </c>
      <c r="E20" s="144">
        <f>SUM(E18:E19)</f>
        <v>-114000</v>
      </c>
      <c r="F20" s="5"/>
    </row>
    <row r="21" spans="2:6" ht="16.5" thickBot="1">
      <c r="B21" s="5"/>
      <c r="C21" s="5"/>
      <c r="D21" s="5"/>
      <c r="E21" s="5"/>
      <c r="F21" s="5"/>
    </row>
    <row r="22" spans="2:6" ht="16.5" thickBot="1">
      <c r="B22" s="255" t="s">
        <v>228</v>
      </c>
      <c r="C22" s="256"/>
      <c r="D22" s="257"/>
      <c r="E22" s="160"/>
      <c r="F22" s="5"/>
    </row>
    <row r="23" spans="2:6" ht="16.5" thickBot="1">
      <c r="B23" s="189" t="s">
        <v>229</v>
      </c>
      <c r="C23" s="190"/>
      <c r="D23" s="197">
        <f>'Variat. Trésorerie Exploitation'!G20</f>
        <v>363000</v>
      </c>
      <c r="E23" s="193"/>
      <c r="F23" s="5"/>
    </row>
    <row r="24" spans="2:6" ht="15.75">
      <c r="B24" s="18" t="s">
        <v>14</v>
      </c>
      <c r="C24" s="173"/>
      <c r="D24" s="23">
        <f>-Balance!F29</f>
        <v>-20000</v>
      </c>
      <c r="E24" s="196"/>
      <c r="F24" s="5"/>
    </row>
    <row r="25" spans="2:6" ht="15.75">
      <c r="B25" s="18" t="s">
        <v>15</v>
      </c>
      <c r="C25" s="173"/>
      <c r="D25" s="23">
        <f>-Balance!F32</f>
        <v>-650000</v>
      </c>
      <c r="E25" s="196"/>
      <c r="F25" s="5"/>
    </row>
    <row r="26" spans="2:6" ht="16.5" thickBot="1">
      <c r="B26" s="131" t="s">
        <v>21</v>
      </c>
      <c r="C26" s="174"/>
      <c r="D26" s="23">
        <f>-E8</f>
        <v>114000</v>
      </c>
      <c r="E26" s="196"/>
      <c r="F26" s="5"/>
    </row>
    <row r="27" spans="2:8" ht="16.5" thickBot="1">
      <c r="B27" s="272" t="s">
        <v>230</v>
      </c>
      <c r="C27" s="273"/>
      <c r="D27" s="197">
        <f>SUM(D24:D26)</f>
        <v>-556000</v>
      </c>
      <c r="E27" s="193"/>
      <c r="F27" s="5"/>
      <c r="H27" s="119"/>
    </row>
    <row r="28" spans="2:6" ht="15.75">
      <c r="B28" s="92" t="s">
        <v>22</v>
      </c>
      <c r="C28" s="93"/>
      <c r="D28" s="104">
        <f>'Variation FRNG'!E5</f>
        <v>200000</v>
      </c>
      <c r="E28" s="196"/>
      <c r="F28" s="5"/>
    </row>
    <row r="29" spans="2:6" ht="16.5" thickBot="1">
      <c r="B29" s="18" t="s">
        <v>23</v>
      </c>
      <c r="C29" s="17"/>
      <c r="D29" s="23">
        <f>-'Variation FRNG'!E9</f>
        <v>20000</v>
      </c>
      <c r="E29" s="196"/>
      <c r="F29" s="5"/>
    </row>
    <row r="30" spans="2:6" ht="16.5" thickBot="1">
      <c r="B30" s="179" t="s">
        <v>24</v>
      </c>
      <c r="C30" s="180"/>
      <c r="D30" s="197">
        <f>D28-D29</f>
        <v>180000</v>
      </c>
      <c r="E30" s="193"/>
      <c r="F30" s="5"/>
    </row>
    <row r="31" spans="2:6" ht="15.75">
      <c r="B31" s="171" t="s">
        <v>108</v>
      </c>
      <c r="C31" s="176"/>
      <c r="D31" s="97">
        <f>'Variation FRNG'!D8-'Variation FRNG'!E7-'Variation FRNG'!E6</f>
        <v>191000</v>
      </c>
      <c r="E31" s="196"/>
      <c r="F31" s="5"/>
    </row>
    <row r="32" spans="2:6" ht="15.75">
      <c r="B32" s="170" t="s">
        <v>25</v>
      </c>
      <c r="C32" s="177"/>
      <c r="D32" s="202">
        <f>-D31</f>
        <v>-191000</v>
      </c>
      <c r="E32" s="193"/>
      <c r="F32" s="5"/>
    </row>
    <row r="33" spans="2:6" ht="15.75">
      <c r="B33" s="181" t="s">
        <v>107</v>
      </c>
      <c r="C33" s="182"/>
      <c r="D33" s="183">
        <f>'Variation FRNG'!C22</f>
        <v>-70000</v>
      </c>
      <c r="E33" s="194"/>
      <c r="F33" s="5"/>
    </row>
    <row r="34" spans="2:6" ht="16.5" thickBot="1">
      <c r="B34" s="184" t="s">
        <v>110</v>
      </c>
      <c r="C34" s="185"/>
      <c r="D34" s="186">
        <f>'Variation FRNG'!C20</f>
        <v>160000</v>
      </c>
      <c r="E34" s="194"/>
      <c r="F34" s="5"/>
    </row>
    <row r="35" spans="2:6" ht="16.5" thickBot="1">
      <c r="B35" s="151"/>
      <c r="C35" s="178"/>
      <c r="D35" s="197">
        <f>D33+D34</f>
        <v>90000</v>
      </c>
      <c r="E35" s="193"/>
      <c r="F35" s="5"/>
    </row>
    <row r="36" spans="2:6" ht="16.5" thickBot="1">
      <c r="B36" s="261" t="s">
        <v>224</v>
      </c>
      <c r="C36" s="270"/>
      <c r="D36" s="203">
        <f>D23+D27+D30+D32+D35</f>
        <v>-114000</v>
      </c>
      <c r="E36" s="193"/>
      <c r="F36" s="5"/>
    </row>
    <row r="37" spans="2:6" s="119" customFormat="1" ht="16.5" thickBot="1">
      <c r="B37" s="191"/>
      <c r="C37" s="191"/>
      <c r="D37" s="192"/>
      <c r="E37" s="192"/>
      <c r="F37" s="120"/>
    </row>
    <row r="38" spans="2:6" s="119" customFormat="1" ht="16.5" thickBot="1">
      <c r="B38" s="255" t="s">
        <v>231</v>
      </c>
      <c r="C38" s="256"/>
      <c r="D38" s="257"/>
      <c r="E38" s="156"/>
      <c r="F38" s="120"/>
    </row>
    <row r="39" spans="2:6" ht="16.5" thickBot="1">
      <c r="B39" s="187" t="s">
        <v>229</v>
      </c>
      <c r="C39" s="188"/>
      <c r="D39" s="197">
        <f>'Variat. Trésorerie Exploitation'!G20</f>
        <v>363000</v>
      </c>
      <c r="E39" s="193"/>
      <c r="F39" s="5"/>
    </row>
    <row r="40" spans="2:6" ht="15.75">
      <c r="B40" s="92" t="s">
        <v>14</v>
      </c>
      <c r="C40" s="172"/>
      <c r="D40" s="111">
        <f>Balance!F29</f>
        <v>20000</v>
      </c>
      <c r="E40" s="194"/>
      <c r="F40" s="5"/>
    </row>
    <row r="41" spans="2:6" ht="15.75">
      <c r="B41" s="18" t="s">
        <v>15</v>
      </c>
      <c r="C41" s="173"/>
      <c r="D41" s="112">
        <f>Balance!F32</f>
        <v>650000</v>
      </c>
      <c r="E41" s="194"/>
      <c r="F41" s="5"/>
    </row>
    <row r="42" spans="2:6" ht="15.75">
      <c r="B42" s="18" t="s">
        <v>23</v>
      </c>
      <c r="C42" s="173"/>
      <c r="D42" s="112">
        <f>-'Variation FRNG'!E9</f>
        <v>20000</v>
      </c>
      <c r="E42" s="194"/>
      <c r="F42" s="5"/>
    </row>
    <row r="43" spans="2:6" ht="15.75">
      <c r="B43" s="18" t="s">
        <v>107</v>
      </c>
      <c r="C43" s="173"/>
      <c r="D43" s="112">
        <f>-'Variation FRNG'!C22</f>
        <v>70000</v>
      </c>
      <c r="E43" s="194"/>
      <c r="F43" s="5"/>
    </row>
    <row r="44" spans="2:6" ht="16.5" thickBot="1">
      <c r="B44" s="18" t="s">
        <v>108</v>
      </c>
      <c r="C44" s="173"/>
      <c r="D44" s="112">
        <f>D31</f>
        <v>191000</v>
      </c>
      <c r="E44" s="194"/>
      <c r="F44" s="5"/>
    </row>
    <row r="45" spans="2:6" ht="16.5" thickBot="1">
      <c r="B45" s="175"/>
      <c r="C45" s="198" t="s">
        <v>44</v>
      </c>
      <c r="D45" s="115">
        <f>SUM(D40:D44)</f>
        <v>951000</v>
      </c>
      <c r="E45" s="185"/>
      <c r="F45" s="160"/>
    </row>
    <row r="46" spans="2:6" ht="15.75">
      <c r="B46" s="184" t="s">
        <v>109</v>
      </c>
      <c r="C46" s="199"/>
      <c r="D46" s="135">
        <f>'Variation FRNG'!E5</f>
        <v>200000</v>
      </c>
      <c r="E46" s="194"/>
      <c r="F46" s="160"/>
    </row>
    <row r="47" spans="2:6" ht="15.75">
      <c r="B47" s="184" t="s">
        <v>110</v>
      </c>
      <c r="C47" s="199"/>
      <c r="D47" s="135">
        <f>'Variation FRNG'!C20</f>
        <v>160000</v>
      </c>
      <c r="E47" s="194"/>
      <c r="F47" s="160"/>
    </row>
    <row r="48" spans="2:6" ht="16.5" thickBot="1">
      <c r="B48" s="184" t="s">
        <v>21</v>
      </c>
      <c r="C48" s="199"/>
      <c r="D48" s="135">
        <f>-E8</f>
        <v>114000</v>
      </c>
      <c r="E48" s="194"/>
      <c r="F48" s="160"/>
    </row>
    <row r="49" spans="2:6" ht="16.5" thickBot="1">
      <c r="B49" s="200"/>
      <c r="C49" s="201" t="s">
        <v>48</v>
      </c>
      <c r="D49" s="115">
        <f>SUM(D46:D48)</f>
        <v>474000</v>
      </c>
      <c r="E49" s="185"/>
      <c r="F49" s="160"/>
    </row>
    <row r="50" spans="2:6" ht="16.5" thickBot="1">
      <c r="B50" s="271" t="s">
        <v>224</v>
      </c>
      <c r="C50" s="263"/>
      <c r="D50" s="155">
        <f>D39-D45+D49</f>
        <v>-114000</v>
      </c>
      <c r="E50" s="195"/>
      <c r="F50" s="160"/>
    </row>
    <row r="51" spans="2:6" ht="15.75">
      <c r="B51" s="160"/>
      <c r="C51" s="185"/>
      <c r="D51" s="191"/>
      <c r="E51" s="195"/>
      <c r="F51" s="160"/>
    </row>
  </sheetData>
  <sheetProtection/>
  <mergeCells count="9">
    <mergeCell ref="B2:E2"/>
    <mergeCell ref="B4:E4"/>
    <mergeCell ref="B10:C10"/>
    <mergeCell ref="B36:C36"/>
    <mergeCell ref="B38:D38"/>
    <mergeCell ref="B50:C50"/>
    <mergeCell ref="B16:E16"/>
    <mergeCell ref="B27:C27"/>
    <mergeCell ref="B22:D22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PageLayoutView="0" workbookViewId="0" topLeftCell="A1">
      <selection activeCell="B2" sqref="B2:C2"/>
    </sheetView>
  </sheetViews>
  <sheetFormatPr defaultColWidth="11.421875" defaultRowHeight="12.75"/>
  <cols>
    <col min="1" max="1" width="3.7109375" style="1" customWidth="1"/>
    <col min="2" max="2" width="25.7109375" style="1" customWidth="1"/>
    <col min="3" max="3" width="23.57421875" style="1" customWidth="1"/>
    <col min="4" max="4" width="21.140625" style="1" customWidth="1"/>
    <col min="5" max="5" width="22.28125" style="1" customWidth="1"/>
    <col min="6" max="6" width="23.28125" style="1" customWidth="1"/>
    <col min="7" max="16384" width="11.421875" style="1" customWidth="1"/>
  </cols>
  <sheetData>
    <row r="1" spans="1:7" ht="19.5" customHeight="1" thickBot="1">
      <c r="A1" s="95"/>
      <c r="B1" s="95"/>
      <c r="C1" s="95"/>
      <c r="D1" s="160"/>
      <c r="E1" s="279"/>
      <c r="F1" s="280"/>
      <c r="G1" s="5"/>
    </row>
    <row r="2" spans="1:7" ht="16.5" thickBot="1">
      <c r="A2" s="5"/>
      <c r="B2" s="252" t="s">
        <v>232</v>
      </c>
      <c r="C2" s="254"/>
      <c r="D2" s="191"/>
      <c r="E2" s="195"/>
      <c r="F2" s="120"/>
      <c r="G2" s="5"/>
    </row>
    <row r="3" spans="2:7" ht="16.5" thickBot="1">
      <c r="B3" s="255" t="s">
        <v>112</v>
      </c>
      <c r="C3" s="257"/>
      <c r="D3" s="281"/>
      <c r="E3" s="195"/>
      <c r="F3" s="120"/>
      <c r="G3" s="5"/>
    </row>
    <row r="4" spans="1:7" ht="15.75">
      <c r="A4" s="5"/>
      <c r="B4" s="24" t="s">
        <v>16</v>
      </c>
      <c r="C4" s="158">
        <f>CAF!D31</f>
        <v>2303000</v>
      </c>
      <c r="D4" s="281"/>
      <c r="E4" s="195"/>
      <c r="F4" s="120"/>
      <c r="G4" s="5"/>
    </row>
    <row r="5" spans="1:7" ht="15.75">
      <c r="A5" s="5"/>
      <c r="B5" s="204" t="s">
        <v>226</v>
      </c>
      <c r="C5" s="153">
        <f>-'Variation BFRE'!E9</f>
        <v>-2610000</v>
      </c>
      <c r="D5" s="281"/>
      <c r="E5" s="195"/>
      <c r="F5" s="120"/>
      <c r="G5" s="5"/>
    </row>
    <row r="6" spans="1:7" ht="16.5" thickBot="1">
      <c r="A6" s="5"/>
      <c r="B6" s="205" t="s">
        <v>21</v>
      </c>
      <c r="C6" s="154">
        <f>-'Variations de trésorerie'!E8</f>
        <v>114000</v>
      </c>
      <c r="D6" s="281"/>
      <c r="E6" s="195"/>
      <c r="F6" s="120"/>
      <c r="G6" s="5"/>
    </row>
    <row r="7" spans="1:7" ht="16.5" thickBot="1">
      <c r="A7" s="5"/>
      <c r="B7" s="143" t="s">
        <v>233</v>
      </c>
      <c r="C7" s="155">
        <f>C4+C5+C6</f>
        <v>-193000</v>
      </c>
      <c r="D7" s="281"/>
      <c r="E7" s="195"/>
      <c r="F7" s="120"/>
      <c r="G7" s="5"/>
    </row>
    <row r="8" spans="1:7" ht="15.75">
      <c r="A8" s="5"/>
      <c r="B8" s="5"/>
      <c r="D8" s="191"/>
      <c r="E8" s="195"/>
      <c r="F8" s="120"/>
      <c r="G8" s="5"/>
    </row>
    <row r="9" spans="4:6" ht="12.75">
      <c r="D9" s="281"/>
      <c r="E9" s="281"/>
      <c r="F9" s="281"/>
    </row>
    <row r="10" spans="4:6" ht="12.75">
      <c r="D10" s="281"/>
      <c r="E10" s="281"/>
      <c r="F10" s="281"/>
    </row>
    <row r="11" spans="4:6" ht="12.75">
      <c r="D11" s="281"/>
      <c r="E11" s="281"/>
      <c r="F11" s="281"/>
    </row>
    <row r="12" spans="4:6" ht="12.75">
      <c r="D12" s="281"/>
      <c r="E12" s="281"/>
      <c r="F12" s="281"/>
    </row>
    <row r="13" spans="4:6" ht="12.75">
      <c r="D13" s="281"/>
      <c r="E13" s="281"/>
      <c r="F13" s="281"/>
    </row>
  </sheetData>
  <sheetProtection/>
  <mergeCells count="2">
    <mergeCell ref="B3:C3"/>
    <mergeCell ref="B2:C2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Packard Bell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</dc:creator>
  <cp:keywords/>
  <dc:description/>
  <cp:lastModifiedBy>JANUARIO Carlos</cp:lastModifiedBy>
  <cp:lastPrinted>2009-06-09T16:47:34Z</cp:lastPrinted>
  <dcterms:created xsi:type="dcterms:W3CDTF">2001-11-10T12:48:03Z</dcterms:created>
  <dcterms:modified xsi:type="dcterms:W3CDTF">2010-04-03T06:40:31Z</dcterms:modified>
  <cp:category/>
  <cp:version/>
  <cp:contentType/>
  <cp:contentStatus/>
</cp:coreProperties>
</file>