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0"/>
  </bookViews>
  <sheets>
    <sheet name="Bilan N-1" sheetId="1" r:id="rId1"/>
    <sheet name="Bilan N" sheetId="2" r:id="rId2"/>
    <sheet name="Tableau de résultat" sheetId="3" r:id="rId3"/>
    <sheet name="Annexes" sheetId="4" r:id="rId4"/>
    <sheet name="SIG" sheetId="5" r:id="rId5"/>
    <sheet name="CAF" sheetId="6" r:id="rId6"/>
    <sheet name="Bilans fonctionnels" sheetId="7" r:id="rId7"/>
    <sheet name="Analyse des bilans fonctionnels" sheetId="8" r:id="rId8"/>
    <sheet name="Tableau de financement I" sheetId="9" r:id="rId9"/>
    <sheet name="Tableau de financement II" sheetId="10" r:id="rId10"/>
    <sheet name="ETE" sheetId="11" r:id="rId11"/>
  </sheets>
  <definedNames/>
  <calcPr fullCalcOnLoad="1"/>
</workbook>
</file>

<file path=xl/sharedStrings.xml><?xml version="1.0" encoding="utf-8"?>
<sst xmlns="http://schemas.openxmlformats.org/spreadsheetml/2006/main" count="559" uniqueCount="369">
  <si>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</si>
  <si>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</si>
  <si>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</si>
  <si>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</si>
  <si>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</si>
  <si>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</si>
  <si>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</si>
  <si>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</si>
  <si>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</si>
  <si>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</si>
  <si>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</si>
  <si>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 xml:space="preserve">Reprises sur provisions et </t>
  </si>
  <si>
    <t>transferts de charges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</si>
  <si>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</si>
  <si>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</si>
  <si>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</si>
  <si>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</si>
  <si>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</si>
  <si>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</si>
  <si>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</si>
  <si>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</si>
  <si>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</si>
  <si>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</si>
  <si>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</si>
  <si>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</si>
  <si>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</si>
  <si>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</si>
  <si>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</si>
  <si>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</si>
  <si>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</si>
  <si>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</si>
  <si>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</si>
  <si>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</si>
  <si>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</si>
  <si>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</si>
  <si>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</si>
  <si>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</si>
  <si>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</si>
  <si>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</si>
  <si>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</si>
  <si>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</si>
  <si>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</si>
  <si>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</si>
  <si>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</si>
  <si>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</si>
  <si>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</si>
  <si>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</si>
  <si>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</si>
  <si>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Dotations Amorti Dépréci et Provisions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</si>
  <si>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</si>
  <si>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</si>
  <si>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</si>
  <si>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</si>
  <si>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</si>
  <si>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</si>
  <si>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</si>
  <si>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</si>
  <si>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</si>
  <si>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</si>
  <si>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</si>
  <si>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</si>
  <si>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</si>
  <si>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</si>
  <si>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</si>
  <si>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</si>
  <si>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</si>
  <si>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</si>
  <si>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</si>
  <si>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</si>
  <si>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</si>
  <si>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</si>
  <si>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</si>
  <si>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</si>
  <si>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</si>
  <si>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</si>
  <si>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</si>
  <si>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</si>
  <si>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</si>
  <si>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</si>
  <si>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</si>
  <si>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</si>
  <si>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</si>
  <si>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</si>
  <si>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</si>
  <si>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</si>
  <si>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</si>
  <si>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</si>
  <si>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</si>
  <si>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</si>
  <si>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</si>
  <si>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</si>
  <si>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</si>
  <si>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</si>
  <si>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</si>
  <si>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</si>
  <si>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</si>
  <si>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</si>
  <si>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</si>
  <si>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</si>
  <si>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</si>
  <si>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</si>
  <si>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</si>
  <si>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</si>
  <si>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</si>
  <si>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</si>
  <si>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</si>
  <si>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</si>
  <si>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</si>
  <si>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</si>
  <si>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</si>
  <si>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</si>
  <si>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</si>
  <si>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</si>
  <si>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</si>
  <si>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</si>
  <si>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</si>
  <si>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</si>
  <si>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</si>
  <si>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</si>
  <si>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</si>
  <si>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</si>
  <si>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</si>
  <si>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</si>
  <si>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</si>
  <si>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</si>
  <si>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</si>
  <si>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</si>
  <si>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</si>
  <si>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</si>
  <si>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</si>
  <si>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</si>
  <si>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</si>
  <si>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</si>
  <si>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</si>
  <si>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</si>
  <si>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</si>
  <si>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</si>
  <si>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</si>
  <si>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</si>
  <si>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</si>
  <si>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</si>
  <si>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</si>
  <si>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</si>
  <si>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</si>
  <si>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</si>
  <si>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</si>
  <si>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</si>
  <si>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</si>
  <si>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</si>
  <si>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</si>
  <si>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</si>
  <si>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</si>
  <si>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</si>
  <si>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</si>
  <si>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</si>
  <si>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</si>
  <si>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</si>
  <si>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</si>
  <si>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marchandises</t>
  </si>
  <si>
    <t>Variations de stocks de marchandises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</si>
  <si>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</si>
  <si>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</si>
  <si>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</si>
  <si>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</si>
  <si>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</si>
  <si>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</si>
  <si>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</si>
  <si>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</si>
  <si>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</si>
  <si>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Dotations amort, dépréc et provisions financières</t>
  </si>
  <si>
    <t>Intérêts et charges assimilées</t>
  </si>
  <si>
    <t>Différences négatives de change</t>
  </si>
  <si>
    <t>Charges nettes sur cession de VMP</t>
  </si>
  <si>
    <t>Charges except / opérations de gestion</t>
  </si>
  <si>
    <t>Charges except / opérations en capital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</si>
  <si>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</si>
  <si>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</si>
  <si>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</si>
  <si>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</si>
  <si>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</si>
  <si>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</si>
  <si>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</si>
  <si>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Produits except / opérations de gestion</t>
  </si>
  <si>
    <t>Produits except / opérations en capital</t>
  </si>
  <si>
    <t>Reprises sur dépr, prov et transfert charges exceptionnelles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</si>
  <si>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</si>
  <si>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</si>
  <si>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</si>
  <si>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</si>
  <si>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</si>
  <si>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</si>
  <si>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</si>
  <si>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</si>
  <si>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</si>
  <si>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</si>
  <si>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</si>
  <si>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</si>
  <si>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</si>
  <si>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</si>
  <si>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</si>
  <si>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</si>
  <si>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</si>
  <si>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</si>
  <si>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</si>
  <si>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</si>
  <si>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</si>
  <si>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</si>
  <si>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</si>
  <si>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Charges à répartir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</si>
  <si>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</si>
  <si>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</si>
  <si>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</si>
  <si>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</si>
  <si>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</si>
  <si>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</si>
  <si>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</si>
  <si>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</si>
  <si>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</si>
  <si>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</si>
  <si>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</si>
  <si>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</si>
  <si>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</si>
  <si>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</si>
  <si>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</si>
  <si>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</si>
  <si>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</si>
  <si>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</si>
  <si>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Résultat de l'exercice (B ou P)</t>
  </si>
  <si>
    <t xml:space="preserve">Achats d'autres approvisionnements </t>
  </si>
  <si>
    <t>Achats de sous traitance</t>
  </si>
  <si>
    <t>Achats non stockés de matières et fournitures</t>
  </si>
  <si>
    <t>Personnel extérieur</t>
  </si>
  <si>
    <t>Redevances de crédit bail</t>
  </si>
  <si>
    <t>Autres services extérieurs</t>
  </si>
  <si>
    <t>Autres charges d'exploitation</t>
  </si>
  <si>
    <t>Escomptes accordés</t>
  </si>
  <si>
    <t>Escomptes obtenus</t>
  </si>
  <si>
    <t>Valeur Comptable des Eléménts d'Actif Cédés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</si>
  <si>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</si>
  <si>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</si>
  <si>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</si>
  <si>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</si>
  <si>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</si>
  <si>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Reprises / provisions, dépréciations d'exploitation</t>
  </si>
  <si>
    <t>Transferts de charges d'exploitation</t>
  </si>
  <si>
    <t>Autres produits d'exploitation</t>
  </si>
  <si>
    <t>Consommations en provenance des tiers</t>
  </si>
  <si>
    <t>Variations de stocks de Mat Prem et Approv</t>
  </si>
  <si>
    <t>Reprises dépréciat, provis, transfert ch financ</t>
  </si>
  <si>
    <t>Dotations aux Amortissements Dépréciations et Provisions</t>
  </si>
  <si>
    <t>SIG</t>
  </si>
  <si>
    <t>Tableau des immobilisations</t>
  </si>
  <si>
    <t>Valeur brute à l'ouverture</t>
  </si>
  <si>
    <t>Diminution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</si>
  <si>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</si>
  <si>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</si>
  <si>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</si>
  <si>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</si>
  <si>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</si>
  <si>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</si>
  <si>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</si>
  <si>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</si>
  <si>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</si>
  <si>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</si>
  <si>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</si>
  <si>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</si>
  <si>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</si>
  <si>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</si>
  <si>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Autres dettes diverses (2)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</si>
  <si>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</si>
  <si>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</si>
  <si>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</si>
  <si>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</si>
  <si>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</si>
  <si>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</si>
  <si>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</si>
  <si>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Provisions règlementées</t>
  </si>
  <si>
    <t>Titres immobilisés</t>
  </si>
  <si>
    <t>Stocks de matières</t>
  </si>
  <si>
    <t>Emprunts et dettes financières diverses (2)</t>
  </si>
  <si>
    <t>Prêts (3)</t>
  </si>
  <si>
    <t>Produits de Cession d'Eléments d'Actif (1)</t>
  </si>
  <si>
    <t>(1) Cession d'immobilisations corporelles</t>
  </si>
  <si>
    <t>(1) Cession d'immobilisations financières</t>
  </si>
  <si>
    <t>Dettes (3)</t>
  </si>
  <si>
    <t>Redevance de crédit bail</t>
  </si>
  <si>
    <t xml:space="preserve">dont amortissement </t>
  </si>
  <si>
    <t>dont charges financières</t>
  </si>
  <si>
    <t>NB : après retraitements des redevances de crédit-bail</t>
  </si>
  <si>
    <t>EBE</t>
  </si>
  <si>
    <t xml:space="preserve"> Variation BFRE</t>
  </si>
  <si>
    <t>Impôts sur bénéfices</t>
  </si>
  <si>
    <t>Remboursement d'emprunts</t>
  </si>
  <si>
    <t>Dividendes</t>
  </si>
  <si>
    <t>Acquisitions d'immobilisations</t>
  </si>
  <si>
    <t>Emprunts auprès éts de crédit (1)</t>
  </si>
  <si>
    <t>Brut N-1</t>
  </si>
  <si>
    <t xml:space="preserve">(1) Dont concours bancaires courants et </t>
  </si>
  <si>
    <t xml:space="preserve">      Effets escomptés non échus :</t>
  </si>
  <si>
    <t>(2) dont dividendes à payer :</t>
  </si>
  <si>
    <t>(3) dont à moins d'un an :</t>
  </si>
  <si>
    <t xml:space="preserve">      Bien en crédit-bail :</t>
  </si>
  <si>
    <t xml:space="preserve">      soldes créditeurs de banques :</t>
  </si>
  <si>
    <t>(2) dont intérêts courus sur emprunts :</t>
  </si>
  <si>
    <t>(3) dont intérêts courus sur prêts :</t>
  </si>
  <si>
    <t>SA ORS - Bilan au 31/12/N-1 (après répartition des bénéfices)</t>
  </si>
  <si>
    <t>Totaux 
Partiels</t>
  </si>
  <si>
    <t>Totaux
Partiels</t>
  </si>
  <si>
    <t>SA ORS - Tableau de résultat au 31/12/N</t>
  </si>
  <si>
    <t>Informations complémentaires</t>
  </si>
  <si>
    <t>Les charges à répartir concernent des frais d'émission d'emprunts.</t>
  </si>
  <si>
    <t>SA ORS - Annexes et informations complémentaires</t>
  </si>
  <si>
    <t>SA ORS - Tableau des Soldes Intermédiaires de Gestion</t>
  </si>
  <si>
    <t>Total</t>
  </si>
  <si>
    <t>Produits des cessions d'éléments d'actif</t>
  </si>
  <si>
    <t>Plus  ou moins values sur cessions</t>
  </si>
  <si>
    <t>EBE (ou insuffisance)</t>
  </si>
  <si>
    <t>Consommation de l'exercice en provenance de tiers</t>
  </si>
  <si>
    <t>Quotes-parts de résultat sur opérations faites en commun</t>
  </si>
  <si>
    <t>Méthode soustractive</t>
  </si>
  <si>
    <t>Méthode additive</t>
  </si>
  <si>
    <t>SA ORS - Capacité d'autofinancement de l'exercice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</si>
  <si>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</si>
  <si>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</si>
  <si>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</si>
  <si>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</si>
  <si>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</si>
  <si>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Produits exceptionnels sur opérations de gestion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</si>
  <si>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</si>
  <si>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</si>
  <si>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</si>
  <si>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</si>
  <si>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</si>
  <si>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</si>
  <si>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Charges exceptionnelles sur opérations de gestion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</si>
  <si>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</si>
  <si>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</si>
  <si>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</si>
  <si>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</si>
  <si>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</si>
  <si>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</si>
  <si>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Total des charges calculées</t>
  </si>
  <si>
    <t>Reprises d'exploitation</t>
  </si>
  <si>
    <t>Reprises financières</t>
  </si>
  <si>
    <t>Reprises exceptionnelles</t>
  </si>
  <si>
    <t>produits des cessions d'éléments d'actif</t>
  </si>
  <si>
    <t>Quote-part de subventions d'investissement virée au résultat</t>
  </si>
  <si>
    <t>Total des produits calculés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</si>
  <si>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</si>
  <si>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</si>
  <si>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</si>
  <si>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</si>
  <si>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</si>
  <si>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</si>
  <si>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</si>
  <si>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SA ORS - Bilans fonctionnels</t>
  </si>
  <si>
    <t xml:space="preserve">Variations </t>
  </si>
  <si>
    <t>FRNG = BFRE + BFRHE + TN</t>
  </si>
  <si>
    <t>SA ORS - Analyse du bilan fonctionnel</t>
  </si>
  <si>
    <t>SA ORS - Tableau de financement (Partie I)</t>
  </si>
  <si>
    <t>Variation du fonds de roulement net global (ressource nette)</t>
  </si>
  <si>
    <t>Variation du fonds de roulement net global (emploi net)</t>
  </si>
  <si>
    <t>Exercice N</t>
  </si>
  <si>
    <t>SA ORS - Tableau de financement (Partie II)</t>
  </si>
  <si>
    <t>SA ORS - Calcul de l'Excédent de Trésorerie d'Exploitation (ETE)</t>
  </si>
  <si>
    <t>ETE</t>
  </si>
  <si>
    <t>Excédent de Trésorerie d'Exploitation (ETE)</t>
  </si>
  <si>
    <t>SA ORS - Affectation de l'Excédent de Trésorerie d'Exploitation (ETE)</t>
  </si>
  <si>
    <t>SA ORS - Bilan au 31/12/N (avant affectation des résultats)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</si>
</sst>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75">
    <xf numFmtId="0" fontId="0" fillId="0" borderId="0" xfId="0" applyAlignment="1">
      <alignment/>
    </xf>
    <xf numFmtId="4" fontId="20" fillId="0" borderId="1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0" fillId="33" borderId="12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2" fillId="0" borderId="0" xfId="0" applyFont="1" applyAlignment="1">
      <alignment/>
    </xf>
    <xf numFmtId="0" fontId="21" fillId="33" borderId="11" xfId="0" applyFont="1" applyFill="1" applyBorder="1" applyAlignment="1">
      <alignment/>
    </xf>
    <xf numFmtId="0" fontId="23" fillId="9" borderId="14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 horizontal="right"/>
    </xf>
    <xf numFmtId="4" fontId="20" fillId="0" borderId="15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33" borderId="11" xfId="0" applyNumberFormat="1" applyFont="1" applyFill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9" borderId="14" xfId="0" applyFont="1" applyFill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33" borderId="11" xfId="0" applyNumberFormat="1" applyFont="1" applyFill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/>
    </xf>
    <xf numFmtId="0" fontId="30" fillId="9" borderId="14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0" fontId="31" fillId="9" borderId="17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17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32" fillId="33" borderId="19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0" fontId="32" fillId="33" borderId="13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29" fillId="33" borderId="13" xfId="0" applyFont="1" applyFill="1" applyBorder="1" applyAlignment="1">
      <alignment/>
    </xf>
    <xf numFmtId="4" fontId="29" fillId="33" borderId="10" xfId="0" applyNumberFormat="1" applyFont="1" applyFill="1" applyBorder="1" applyAlignment="1">
      <alignment horizontal="right"/>
    </xf>
    <xf numFmtId="0" fontId="33" fillId="33" borderId="13" xfId="0" applyFont="1" applyFill="1" applyBorder="1" applyAlignment="1">
      <alignment/>
    </xf>
    <xf numFmtId="0" fontId="33" fillId="33" borderId="13" xfId="0" applyFont="1" applyFill="1" applyBorder="1" applyAlignment="1">
      <alignment horizontal="right"/>
    </xf>
    <xf numFmtId="4" fontId="32" fillId="0" borderId="10" xfId="0" applyNumberFormat="1" applyFont="1" applyBorder="1" applyAlignment="1">
      <alignment/>
    </xf>
    <xf numFmtId="0" fontId="29" fillId="33" borderId="13" xfId="0" applyFont="1" applyFill="1" applyBorder="1" applyAlignment="1">
      <alignment horizontal="right"/>
    </xf>
    <xf numFmtId="4" fontId="29" fillId="0" borderId="11" xfId="0" applyNumberFormat="1" applyFont="1" applyBorder="1" applyAlignment="1">
      <alignment/>
    </xf>
    <xf numFmtId="4" fontId="32" fillId="33" borderId="12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/>
    </xf>
    <xf numFmtId="0" fontId="29" fillId="33" borderId="11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4" fontId="29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0" fontId="29" fillId="33" borderId="10" xfId="0" applyFont="1" applyFill="1" applyBorder="1" applyAlignment="1">
      <alignment horizontal="left"/>
    </xf>
    <xf numFmtId="4" fontId="34" fillId="33" borderId="10" xfId="0" applyNumberFormat="1" applyFont="1" applyFill="1" applyBorder="1" applyAlignment="1">
      <alignment horizontal="right"/>
    </xf>
    <xf numFmtId="0" fontId="29" fillId="33" borderId="13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29" fillId="33" borderId="0" xfId="0" applyFont="1" applyFill="1" applyBorder="1" applyAlignment="1">
      <alignment/>
    </xf>
    <xf numFmtId="4" fontId="29" fillId="33" borderId="11" xfId="0" applyNumberFormat="1" applyFont="1" applyFill="1" applyBorder="1" applyAlignment="1">
      <alignment horizontal="right"/>
    </xf>
    <xf numFmtId="4" fontId="29" fillId="33" borderId="12" xfId="0" applyNumberFormat="1" applyFont="1" applyFill="1" applyBorder="1" applyAlignment="1">
      <alignment horizontal="right"/>
    </xf>
    <xf numFmtId="4" fontId="32" fillId="33" borderId="15" xfId="0" applyNumberFormat="1" applyFont="1" applyFill="1" applyBorder="1" applyAlignment="1">
      <alignment horizontal="right"/>
    </xf>
    <xf numFmtId="0" fontId="29" fillId="33" borderId="19" xfId="0" applyFont="1" applyFill="1" applyBorder="1" applyAlignment="1">
      <alignment horizontal="left"/>
    </xf>
    <xf numFmtId="4" fontId="29" fillId="0" borderId="20" xfId="0" applyNumberFormat="1" applyFont="1" applyBorder="1" applyAlignment="1">
      <alignment horizontal="right"/>
    </xf>
    <xf numFmtId="0" fontId="29" fillId="33" borderId="20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4" fontId="29" fillId="33" borderId="21" xfId="0" applyNumberFormat="1" applyFont="1" applyFill="1" applyBorder="1" applyAlignment="1">
      <alignment horizontal="right"/>
    </xf>
    <xf numFmtId="4" fontId="29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/>
    </xf>
    <xf numFmtId="4" fontId="29" fillId="33" borderId="18" xfId="0" applyNumberFormat="1" applyFont="1" applyFill="1" applyBorder="1" applyAlignment="1">
      <alignment horizontal="right"/>
    </xf>
    <xf numFmtId="0" fontId="29" fillId="0" borderId="13" xfId="0" applyFont="1" applyBorder="1" applyAlignment="1">
      <alignment/>
    </xf>
    <xf numFmtId="4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22" xfId="0" applyFont="1" applyBorder="1" applyAlignment="1">
      <alignment/>
    </xf>
    <xf numFmtId="4" fontId="29" fillId="0" borderId="23" xfId="0" applyNumberFormat="1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4" fontId="20" fillId="33" borderId="15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4" fontId="29" fillId="0" borderId="0" xfId="0" applyNumberFormat="1" applyFont="1" applyAlignment="1">
      <alignment/>
    </xf>
    <xf numFmtId="4" fontId="32" fillId="0" borderId="11" xfId="0" applyNumberFormat="1" applyFont="1" applyBorder="1" applyAlignment="1">
      <alignment/>
    </xf>
    <xf numFmtId="4" fontId="32" fillId="33" borderId="15" xfId="0" applyNumberFormat="1" applyFont="1" applyFill="1" applyBorder="1" applyAlignment="1">
      <alignment/>
    </xf>
    <xf numFmtId="0" fontId="29" fillId="33" borderId="23" xfId="0" applyFont="1" applyFill="1" applyBorder="1" applyAlignment="1">
      <alignment/>
    </xf>
    <xf numFmtId="4" fontId="29" fillId="0" borderId="15" xfId="0" applyNumberFormat="1" applyFont="1" applyBorder="1" applyAlignment="1">
      <alignment/>
    </xf>
    <xf numFmtId="4" fontId="29" fillId="33" borderId="15" xfId="0" applyNumberFormat="1" applyFont="1" applyFill="1" applyBorder="1" applyAlignment="1">
      <alignment/>
    </xf>
    <xf numFmtId="0" fontId="29" fillId="33" borderId="22" xfId="0" applyFont="1" applyFill="1" applyBorder="1" applyAlignment="1">
      <alignment/>
    </xf>
    <xf numFmtId="4" fontId="29" fillId="33" borderId="0" xfId="0" applyNumberFormat="1" applyFont="1" applyFill="1" applyBorder="1" applyAlignment="1">
      <alignment/>
    </xf>
    <xf numFmtId="4" fontId="29" fillId="33" borderId="20" xfId="0" applyNumberFormat="1" applyFont="1" applyFill="1" applyBorder="1" applyAlignment="1">
      <alignment/>
    </xf>
    <xf numFmtId="4" fontId="29" fillId="33" borderId="23" xfId="0" applyNumberFormat="1" applyFont="1" applyFill="1" applyBorder="1" applyAlignment="1">
      <alignment horizontal="right"/>
    </xf>
    <xf numFmtId="0" fontId="32" fillId="8" borderId="12" xfId="0" applyFont="1" applyFill="1" applyBorder="1" applyAlignment="1">
      <alignment horizontal="right"/>
    </xf>
    <xf numFmtId="0" fontId="32" fillId="34" borderId="15" xfId="0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33" fillId="33" borderId="0" xfId="0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29" fillId="33" borderId="0" xfId="0" applyFont="1" applyFill="1" applyBorder="1" applyAlignment="1">
      <alignment wrapText="1"/>
    </xf>
    <xf numFmtId="0" fontId="34" fillId="33" borderId="0" xfId="0" applyFont="1" applyFill="1" applyBorder="1" applyAlignment="1">
      <alignment horizontal="right" wrapText="1"/>
    </xf>
    <xf numFmtId="0" fontId="29" fillId="0" borderId="0" xfId="0" applyFont="1" applyAlignment="1">
      <alignment wrapText="1"/>
    </xf>
    <xf numFmtId="0" fontId="29" fillId="33" borderId="0" xfId="0" applyFont="1" applyFill="1" applyAlignment="1">
      <alignment wrapText="1"/>
    </xf>
    <xf numFmtId="0" fontId="32" fillId="33" borderId="12" xfId="0" applyFont="1" applyFill="1" applyBorder="1" applyAlignment="1">
      <alignment horizontal="right" wrapText="1"/>
    </xf>
    <xf numFmtId="0" fontId="32" fillId="33" borderId="16" xfId="0" applyFont="1" applyFill="1" applyBorder="1" applyAlignment="1">
      <alignment horizontal="right" wrapText="1"/>
    </xf>
    <xf numFmtId="4" fontId="32" fillId="33" borderId="12" xfId="0" applyNumberFormat="1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4" fillId="33" borderId="0" xfId="0" applyFont="1" applyFill="1" applyBorder="1" applyAlignment="1">
      <alignment wrapText="1"/>
    </xf>
    <xf numFmtId="4" fontId="36" fillId="33" borderId="12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right" wrapText="1"/>
    </xf>
    <xf numFmtId="0" fontId="32" fillId="33" borderId="0" xfId="0" applyFont="1" applyFill="1" applyAlignment="1">
      <alignment horizontal="right" wrapText="1"/>
    </xf>
    <xf numFmtId="4" fontId="32" fillId="33" borderId="11" xfId="0" applyNumberFormat="1" applyFont="1" applyFill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0" fontId="29" fillId="0" borderId="15" xfId="0" applyFont="1" applyBorder="1" applyAlignment="1">
      <alignment/>
    </xf>
    <xf numFmtId="0" fontId="29" fillId="0" borderId="10" xfId="0" applyFont="1" applyBorder="1" applyAlignment="1">
      <alignment/>
    </xf>
    <xf numFmtId="4" fontId="29" fillId="33" borderId="11" xfId="0" applyNumberFormat="1" applyFont="1" applyFill="1" applyBorder="1" applyAlignment="1">
      <alignment/>
    </xf>
    <xf numFmtId="0" fontId="33" fillId="0" borderId="15" xfId="0" applyFont="1" applyBorder="1" applyAlignment="1">
      <alignment horizontal="left" wrapText="1"/>
    </xf>
    <xf numFmtId="0" fontId="32" fillId="0" borderId="15" xfId="0" applyFont="1" applyBorder="1" applyAlignment="1">
      <alignment horizontal="center" wrapText="1"/>
    </xf>
    <xf numFmtId="0" fontId="30" fillId="9" borderId="16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12" xfId="0" applyFont="1" applyFill="1" applyBorder="1" applyAlignment="1">
      <alignment horizontal="center" wrapText="1"/>
    </xf>
    <xf numFmtId="0" fontId="32" fillId="8" borderId="14" xfId="0" applyFont="1" applyFill="1" applyBorder="1" applyAlignment="1">
      <alignment horizontal="center" wrapText="1"/>
    </xf>
    <xf numFmtId="4" fontId="29" fillId="33" borderId="15" xfId="0" applyNumberFormat="1" applyFont="1" applyFill="1" applyBorder="1" applyAlignment="1">
      <alignment horizontal="center"/>
    </xf>
    <xf numFmtId="0" fontId="29" fillId="33" borderId="15" xfId="0" applyFont="1" applyFill="1" applyBorder="1" applyAlignment="1">
      <alignment wrapText="1"/>
    </xf>
    <xf numFmtId="0" fontId="29" fillId="33" borderId="25" xfId="0" applyFont="1" applyFill="1" applyBorder="1" applyAlignment="1">
      <alignment wrapText="1"/>
    </xf>
    <xf numFmtId="4" fontId="37" fillId="13" borderId="10" xfId="0" applyNumberFormat="1" applyFont="1" applyFill="1" applyBorder="1" applyAlignment="1">
      <alignment/>
    </xf>
    <xf numFmtId="4" fontId="29" fillId="33" borderId="26" xfId="0" applyNumberFormat="1" applyFont="1" applyFill="1" applyBorder="1" applyAlignment="1">
      <alignment/>
    </xf>
    <xf numFmtId="0" fontId="36" fillId="34" borderId="27" xfId="0" applyFont="1" applyFill="1" applyBorder="1" applyAlignment="1">
      <alignment horizontal="right" wrapText="1"/>
    </xf>
    <xf numFmtId="0" fontId="36" fillId="34" borderId="28" xfId="0" applyFont="1" applyFill="1" applyBorder="1" applyAlignment="1">
      <alignment horizontal="right" wrapText="1"/>
    </xf>
    <xf numFmtId="0" fontId="32" fillId="34" borderId="29" xfId="0" applyFont="1" applyFill="1" applyBorder="1" applyAlignment="1">
      <alignment horizontal="right" wrapText="1"/>
    </xf>
    <xf numFmtId="0" fontId="32" fillId="34" borderId="30" xfId="0" applyFont="1" applyFill="1" applyBorder="1" applyAlignment="1">
      <alignment horizontal="right" wrapText="1"/>
    </xf>
    <xf numFmtId="0" fontId="29" fillId="33" borderId="19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4" fontId="29" fillId="33" borderId="23" xfId="0" applyNumberFormat="1" applyFont="1" applyFill="1" applyBorder="1" applyAlignment="1">
      <alignment/>
    </xf>
    <xf numFmtId="0" fontId="29" fillId="33" borderId="24" xfId="0" applyFont="1" applyFill="1" applyBorder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4" fontId="19" fillId="0" borderId="0" xfId="0" applyNumberFormat="1" applyFont="1" applyBorder="1" applyAlignment="1">
      <alignment/>
    </xf>
    <xf numFmtId="0" fontId="23" fillId="9" borderId="16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4" fontId="20" fillId="0" borderId="31" xfId="0" applyNumberFormat="1" applyFont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0" fontId="21" fillId="33" borderId="14" xfId="0" applyFont="1" applyFill="1" applyBorder="1" applyAlignment="1">
      <alignment horizontal="left"/>
    </xf>
    <xf numFmtId="0" fontId="20" fillId="10" borderId="14" xfId="0" applyFont="1" applyFill="1" applyBorder="1" applyAlignment="1">
      <alignment vertical="center" wrapText="1" shrinkToFit="1"/>
    </xf>
    <xf numFmtId="0" fontId="20" fillId="10" borderId="12" xfId="0" applyFont="1" applyFill="1" applyBorder="1" applyAlignment="1">
      <alignment horizontal="center" vertical="center" wrapText="1" shrinkToFit="1"/>
    </xf>
    <xf numFmtId="0" fontId="20" fillId="10" borderId="16" xfId="0" applyFont="1" applyFill="1" applyBorder="1" applyAlignment="1">
      <alignment horizontal="center" vertical="center" wrapText="1" shrinkToFit="1"/>
    </xf>
    <xf numFmtId="0" fontId="20" fillId="10" borderId="17" xfId="0" applyFont="1" applyFill="1" applyBorder="1" applyAlignment="1">
      <alignment horizontal="center" vertical="center" wrapText="1" shrinkToFit="1"/>
    </xf>
    <xf numFmtId="4" fontId="21" fillId="33" borderId="11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1" fillId="33" borderId="22" xfId="0" applyFont="1" applyFill="1" applyBorder="1" applyAlignment="1">
      <alignment/>
    </xf>
    <xf numFmtId="0" fontId="20" fillId="8" borderId="14" xfId="0" applyFont="1" applyFill="1" applyBorder="1" applyAlignment="1">
      <alignment horizontal="right"/>
    </xf>
    <xf numFmtId="0" fontId="21" fillId="0" borderId="19" xfId="0" applyFont="1" applyBorder="1" applyAlignment="1">
      <alignment/>
    </xf>
    <xf numFmtId="4" fontId="20" fillId="0" borderId="12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3" xfId="0" applyFont="1" applyBorder="1" applyAlignment="1">
      <alignment/>
    </xf>
    <xf numFmtId="4" fontId="21" fillId="33" borderId="12" xfId="0" applyNumberFormat="1" applyFont="1" applyFill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0" fontId="20" fillId="10" borderId="21" xfId="0" applyFont="1" applyFill="1" applyBorder="1" applyAlignment="1">
      <alignment horizontal="center" vertical="center" wrapText="1" shrinkToFit="1"/>
    </xf>
    <xf numFmtId="4" fontId="20" fillId="33" borderId="24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0" fontId="20" fillId="10" borderId="14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4" fontId="21" fillId="33" borderId="16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4" fontId="19" fillId="0" borderId="12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6" fillId="9" borderId="14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4" fontId="25" fillId="0" borderId="15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19" fillId="10" borderId="16" xfId="0" applyFont="1" applyFill="1" applyBorder="1" applyAlignment="1">
      <alignment/>
    </xf>
    <xf numFmtId="4" fontId="35" fillId="13" borderId="12" xfId="0" applyNumberFormat="1" applyFont="1" applyFill="1" applyBorder="1" applyAlignment="1">
      <alignment/>
    </xf>
    <xf numFmtId="0" fontId="23" fillId="9" borderId="14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8" borderId="16" xfId="0" applyFont="1" applyFill="1" applyBorder="1" applyAlignment="1">
      <alignment/>
    </xf>
    <xf numFmtId="0" fontId="20" fillId="0" borderId="22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8" borderId="12" xfId="0" applyFont="1" applyFill="1" applyBorder="1" applyAlignment="1">
      <alignment/>
    </xf>
    <xf numFmtId="0" fontId="21" fillId="0" borderId="15" xfId="0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 wrapText="1"/>
    </xf>
    <xf numFmtId="4" fontId="21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8" borderId="14" xfId="0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4" fontId="38" fillId="13" borderId="12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0" fillId="8" borderId="16" xfId="0" applyFont="1" applyFill="1" applyBorder="1" applyAlignment="1">
      <alignment wrapText="1"/>
    </xf>
    <xf numFmtId="4" fontId="20" fillId="0" borderId="12" xfId="0" applyNumberFormat="1" applyFont="1" applyBorder="1" applyAlignment="1">
      <alignment horizontal="right" wrapText="1"/>
    </xf>
    <xf numFmtId="4" fontId="20" fillId="0" borderId="15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25" fillId="0" borderId="18" xfId="0" applyNumberFormat="1" applyFont="1" applyBorder="1" applyAlignment="1">
      <alignment/>
    </xf>
    <xf numFmtId="4" fontId="25" fillId="0" borderId="24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5" fillId="0" borderId="3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0" xfId="0" applyFont="1" applyAlignment="1">
      <alignment horizontal="center"/>
    </xf>
    <xf numFmtId="0" fontId="19" fillId="0" borderId="33" xfId="0" applyFont="1" applyBorder="1" applyAlignment="1">
      <alignment/>
    </xf>
    <xf numFmtId="0" fontId="19" fillId="10" borderId="14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4" fontId="35" fillId="13" borderId="24" xfId="0" applyNumberFormat="1" applyFont="1" applyFill="1" applyBorder="1" applyAlignment="1">
      <alignment/>
    </xf>
    <xf numFmtId="0" fontId="19" fillId="8" borderId="31" xfId="0" applyFont="1" applyFill="1" applyBorder="1" applyAlignment="1">
      <alignment horizontal="right"/>
    </xf>
    <xf numFmtId="4" fontId="19" fillId="8" borderId="12" xfId="0" applyNumberFormat="1" applyFont="1" applyFill="1" applyBorder="1" applyAlignment="1">
      <alignment/>
    </xf>
    <xf numFmtId="0" fontId="19" fillId="34" borderId="35" xfId="0" applyFont="1" applyFill="1" applyBorder="1" applyAlignment="1">
      <alignment horizontal="center"/>
    </xf>
    <xf numFmtId="0" fontId="19" fillId="8" borderId="36" xfId="0" applyFont="1" applyFill="1" applyBorder="1" applyAlignment="1">
      <alignment horizontal="right"/>
    </xf>
    <xf numFmtId="4" fontId="19" fillId="8" borderId="17" xfId="0" applyNumberFormat="1" applyFont="1" applyFill="1" applyBorder="1" applyAlignment="1">
      <alignment/>
    </xf>
    <xf numFmtId="14" fontId="28" fillId="0" borderId="0" xfId="0" applyNumberFormat="1" applyFont="1" applyAlignment="1">
      <alignment horizontal="center"/>
    </xf>
    <xf numFmtId="0" fontId="25" fillId="33" borderId="19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23" xfId="0" applyFont="1" applyFill="1" applyBorder="1" applyAlignment="1">
      <alignment horizontal="left" vertical="center"/>
    </xf>
    <xf numFmtId="4" fontId="25" fillId="33" borderId="15" xfId="0" applyNumberFormat="1" applyFont="1" applyFill="1" applyBorder="1" applyAlignment="1">
      <alignment horizontal="right"/>
    </xf>
    <xf numFmtId="0" fontId="19" fillId="10" borderId="16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0" fontId="19" fillId="14" borderId="14" xfId="0" applyFont="1" applyFill="1" applyBorder="1" applyAlignment="1">
      <alignment horizontal="center" vertical="center"/>
    </xf>
    <xf numFmtId="4" fontId="19" fillId="8" borderId="12" xfId="0" applyNumberFormat="1" applyFont="1" applyFill="1" applyBorder="1" applyAlignment="1">
      <alignment horizontal="right" vertical="center"/>
    </xf>
    <xf numFmtId="4" fontId="19" fillId="2" borderId="12" xfId="0" applyNumberFormat="1" applyFont="1" applyFill="1" applyBorder="1" applyAlignment="1">
      <alignment horizontal="right" vertical="center"/>
    </xf>
    <xf numFmtId="14" fontId="22" fillId="0" borderId="0" xfId="0" applyNumberFormat="1" applyFont="1" applyAlignment="1">
      <alignment horizontal="center"/>
    </xf>
    <xf numFmtId="4" fontId="39" fillId="33" borderId="38" xfId="0" applyNumberFormat="1" applyFont="1" applyFill="1" applyBorder="1" applyAlignment="1">
      <alignment vertical="center"/>
    </xf>
    <xf numFmtId="2" fontId="2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9" fillId="10" borderId="12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3" borderId="20" xfId="0" applyFont="1" applyFill="1" applyBorder="1" applyAlignment="1">
      <alignment vertical="center"/>
    </xf>
    <xf numFmtId="4" fontId="21" fillId="33" borderId="15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33" borderId="23" xfId="0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3" xfId="0" applyNumberFormat="1" applyFont="1" applyFill="1" applyBorder="1" applyAlignment="1">
      <alignment vertical="center"/>
    </xf>
    <xf numFmtId="0" fontId="20" fillId="8" borderId="22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4" fontId="39" fillId="2" borderId="12" xfId="0" applyNumberFormat="1" applyFont="1" applyFill="1" applyBorder="1" applyAlignment="1">
      <alignment vertical="center"/>
    </xf>
    <xf numFmtId="4" fontId="39" fillId="2" borderId="16" xfId="0" applyNumberFormat="1" applyFont="1" applyFill="1" applyBorder="1" applyAlignment="1">
      <alignment vertical="center"/>
    </xf>
    <xf numFmtId="4" fontId="38" fillId="8" borderId="12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40" fillId="33" borderId="11" xfId="0" applyNumberFormat="1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 wrapText="1"/>
    </xf>
    <xf numFmtId="4" fontId="39" fillId="8" borderId="12" xfId="0" applyNumberFormat="1" applyFont="1" applyFill="1" applyBorder="1" applyAlignment="1">
      <alignment vertical="center"/>
    </xf>
    <xf numFmtId="4" fontId="40" fillId="33" borderId="15" xfId="0" applyNumberFormat="1" applyFont="1" applyFill="1" applyBorder="1" applyAlignment="1">
      <alignment vertical="center"/>
    </xf>
    <xf numFmtId="0" fontId="20" fillId="8" borderId="1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3" borderId="21" xfId="0" applyFont="1" applyFill="1" applyBorder="1" applyAlignment="1">
      <alignment horizontal="right" vertical="center"/>
    </xf>
    <xf numFmtId="4" fontId="62" fillId="0" borderId="38" xfId="0" applyNumberFormat="1" applyFont="1" applyFill="1" applyBorder="1" applyAlignment="1">
      <alignment vertical="center"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right"/>
    </xf>
    <xf numFmtId="4" fontId="20" fillId="0" borderId="36" xfId="0" applyNumberFormat="1" applyFont="1" applyBorder="1" applyAlignment="1">
      <alignment/>
    </xf>
    <xf numFmtId="4" fontId="62" fillId="0" borderId="37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8" borderId="12" xfId="0" applyFont="1" applyFill="1" applyBorder="1" applyAlignment="1">
      <alignment horizontal="right"/>
    </xf>
    <xf numFmtId="0" fontId="28" fillId="0" borderId="12" xfId="0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35" fillId="13" borderId="12" xfId="0" applyNumberFormat="1" applyFont="1" applyFill="1" applyBorder="1" applyAlignment="1">
      <alignment wrapText="1"/>
    </xf>
    <xf numFmtId="0" fontId="25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10" borderId="19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18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9" xfId="0" applyFont="1" applyBorder="1" applyAlignment="1">
      <alignment/>
    </xf>
    <xf numFmtId="0" fontId="28" fillId="0" borderId="13" xfId="0" applyFont="1" applyBorder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1" xfId="0" applyFont="1" applyBorder="1" applyAlignment="1">
      <alignment/>
    </xf>
    <xf numFmtId="0" fontId="19" fillId="0" borderId="18" xfId="0" applyFont="1" applyBorder="1" applyAlignment="1">
      <alignment/>
    </xf>
    <xf numFmtId="4" fontId="25" fillId="0" borderId="10" xfId="0" applyNumberFormat="1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" fontId="19" fillId="0" borderId="19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" fontId="35" fillId="8" borderId="12" xfId="0" applyNumberFormat="1" applyFont="1" applyFill="1" applyBorder="1" applyAlignment="1">
      <alignment/>
    </xf>
    <xf numFmtId="0" fontId="26" fillId="9" borderId="19" xfId="0" applyFont="1" applyFill="1" applyBorder="1" applyAlignment="1">
      <alignment horizontal="center"/>
    </xf>
    <xf numFmtId="0" fontId="26" fillId="9" borderId="20" xfId="0" applyFont="1" applyFill="1" applyBorder="1" applyAlignment="1">
      <alignment horizontal="center"/>
    </xf>
    <xf numFmtId="0" fontId="26" fillId="9" borderId="21" xfId="0" applyFont="1" applyFill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" fontId="63" fillId="8" borderId="24" xfId="0" applyNumberFormat="1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8" borderId="14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/>
    </xf>
    <xf numFmtId="0" fontId="19" fillId="8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/>
    </xf>
    <xf numFmtId="4" fontId="25" fillId="0" borderId="41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3.7109375" style="33" customWidth="1"/>
    <col min="2" max="2" width="30.7109375" style="33" customWidth="1"/>
    <col min="3" max="5" width="9.7109375" style="33" customWidth="1"/>
    <col min="6" max="6" width="30.7109375" style="33" customWidth="1"/>
    <col min="7" max="7" width="9.7109375" style="33" customWidth="1"/>
    <col min="8" max="16384" width="11.421875" style="33" customWidth="1"/>
  </cols>
  <sheetData>
    <row r="1" ht="12.75" thickBot="1"/>
    <row r="2" spans="2:7" ht="12.75" thickBot="1">
      <c r="B2" s="34" t="s">
        <v>305</v>
      </c>
      <c r="C2" s="35"/>
      <c r="D2" s="35"/>
      <c r="E2" s="35"/>
      <c r="F2" s="35"/>
      <c r="G2" s="36"/>
    </row>
    <row r="3" spans="2:7" ht="12.75" thickBot="1">
      <c r="B3" s="37" t="s">
        <v>55</v>
      </c>
      <c r="C3" s="38" t="s">
        <v>296</v>
      </c>
      <c r="D3" s="38" t="s">
        <v>57</v>
      </c>
      <c r="E3" s="38" t="s">
        <v>59</v>
      </c>
      <c r="F3" s="37" t="s">
        <v>60</v>
      </c>
      <c r="G3" s="38" t="s">
        <v>61</v>
      </c>
    </row>
    <row r="4" spans="2:7" ht="12">
      <c r="B4" s="39" t="s">
        <v>62</v>
      </c>
      <c r="C4" s="40"/>
      <c r="D4" s="40"/>
      <c r="E4" s="40"/>
      <c r="F4" s="41" t="s">
        <v>63</v>
      </c>
      <c r="G4" s="40"/>
    </row>
    <row r="5" spans="2:7" ht="12">
      <c r="B5" s="42" t="s">
        <v>87</v>
      </c>
      <c r="C5" s="43"/>
      <c r="D5" s="43"/>
      <c r="E5" s="44"/>
      <c r="F5" s="45"/>
      <c r="G5" s="43"/>
    </row>
    <row r="6" spans="2:7" ht="12">
      <c r="B6" s="43" t="s">
        <v>187</v>
      </c>
      <c r="C6" s="46">
        <v>108000</v>
      </c>
      <c r="D6" s="46">
        <v>72000</v>
      </c>
      <c r="E6" s="46">
        <f aca="true" t="shared" si="0" ref="E6:E26">C6-D6</f>
        <v>36000</v>
      </c>
      <c r="F6" s="47" t="s">
        <v>64</v>
      </c>
      <c r="G6" s="46">
        <v>3000000</v>
      </c>
    </row>
    <row r="7" spans="2:7" ht="12">
      <c r="B7" s="43" t="s">
        <v>188</v>
      </c>
      <c r="C7" s="46"/>
      <c r="D7" s="46"/>
      <c r="E7" s="46">
        <f t="shared" si="0"/>
        <v>0</v>
      </c>
      <c r="F7" s="47" t="s">
        <v>66</v>
      </c>
      <c r="G7" s="46"/>
    </row>
    <row r="8" spans="2:7" ht="12">
      <c r="B8" s="43" t="s">
        <v>193</v>
      </c>
      <c r="C8" s="48">
        <v>240000</v>
      </c>
      <c r="D8" s="48">
        <v>80000</v>
      </c>
      <c r="E8" s="46">
        <f t="shared" si="0"/>
        <v>160000</v>
      </c>
      <c r="G8" s="48"/>
    </row>
    <row r="9" spans="2:7" ht="12">
      <c r="B9" s="43" t="s">
        <v>189</v>
      </c>
      <c r="C9" s="48">
        <v>250000</v>
      </c>
      <c r="D9" s="48"/>
      <c r="E9" s="46">
        <f t="shared" si="0"/>
        <v>250000</v>
      </c>
      <c r="F9" s="47" t="s">
        <v>68</v>
      </c>
      <c r="G9" s="48">
        <v>300000</v>
      </c>
    </row>
    <row r="10" spans="2:7" ht="12">
      <c r="B10" s="43" t="s">
        <v>190</v>
      </c>
      <c r="C10" s="48"/>
      <c r="D10" s="48"/>
      <c r="E10" s="46">
        <f t="shared" si="0"/>
        <v>0</v>
      </c>
      <c r="F10" s="47" t="s">
        <v>70</v>
      </c>
      <c r="G10" s="48">
        <v>300000</v>
      </c>
    </row>
    <row r="11" spans="2:7" ht="12">
      <c r="B11" s="43" t="s">
        <v>191</v>
      </c>
      <c r="C11" s="48"/>
      <c r="D11" s="48"/>
      <c r="E11" s="46">
        <f t="shared" si="0"/>
        <v>0</v>
      </c>
      <c r="F11" s="47" t="s">
        <v>211</v>
      </c>
      <c r="G11" s="48"/>
    </row>
    <row r="12" spans="2:7" ht="12">
      <c r="B12" s="43" t="s">
        <v>192</v>
      </c>
      <c r="C12" s="48"/>
      <c r="D12" s="48"/>
      <c r="E12" s="46">
        <f t="shared" si="0"/>
        <v>0</v>
      </c>
      <c r="F12" s="47" t="s">
        <v>212</v>
      </c>
      <c r="G12" s="48">
        <v>150000</v>
      </c>
    </row>
    <row r="13" spans="2:7" ht="12">
      <c r="B13" s="42" t="s">
        <v>137</v>
      </c>
      <c r="C13" s="48"/>
      <c r="D13" s="48"/>
      <c r="E13" s="46"/>
      <c r="F13" s="47" t="s">
        <v>72</v>
      </c>
      <c r="G13" s="48"/>
    </row>
    <row r="14" spans="2:7" ht="12">
      <c r="B14" s="43" t="s">
        <v>65</v>
      </c>
      <c r="C14" s="48"/>
      <c r="D14" s="48"/>
      <c r="E14" s="46">
        <f t="shared" si="0"/>
        <v>0</v>
      </c>
      <c r="F14" s="47"/>
      <c r="G14" s="48"/>
    </row>
    <row r="15" spans="2:7" ht="12">
      <c r="B15" s="43" t="s">
        <v>67</v>
      </c>
      <c r="C15" s="48">
        <v>940000</v>
      </c>
      <c r="D15" s="48">
        <v>305000</v>
      </c>
      <c r="E15" s="46">
        <f t="shared" si="0"/>
        <v>635000</v>
      </c>
      <c r="F15" s="49" t="s">
        <v>227</v>
      </c>
      <c r="G15" s="48"/>
    </row>
    <row r="16" spans="2:7" ht="12">
      <c r="B16" s="43" t="s">
        <v>69</v>
      </c>
      <c r="C16" s="48">
        <v>2860000</v>
      </c>
      <c r="D16" s="48">
        <v>840000</v>
      </c>
      <c r="E16" s="46">
        <f t="shared" si="0"/>
        <v>2020000</v>
      </c>
      <c r="G16" s="48"/>
    </row>
    <row r="17" spans="2:7" ht="12">
      <c r="B17" s="43" t="s">
        <v>71</v>
      </c>
      <c r="C17" s="48">
        <v>415000</v>
      </c>
      <c r="D17" s="48">
        <v>110000</v>
      </c>
      <c r="E17" s="46">
        <f t="shared" si="0"/>
        <v>305000</v>
      </c>
      <c r="F17" s="47" t="s">
        <v>213</v>
      </c>
      <c r="G17" s="48">
        <v>80000</v>
      </c>
    </row>
    <row r="18" spans="2:7" ht="12">
      <c r="B18" s="43" t="s">
        <v>194</v>
      </c>
      <c r="C18" s="48"/>
      <c r="D18" s="48"/>
      <c r="E18" s="46">
        <f t="shared" si="0"/>
        <v>0</v>
      </c>
      <c r="F18" s="47" t="s">
        <v>86</v>
      </c>
      <c r="G18" s="48"/>
    </row>
    <row r="19" spans="2:7" ht="12">
      <c r="B19" s="43" t="s">
        <v>195</v>
      </c>
      <c r="C19" s="48">
        <v>150000</v>
      </c>
      <c r="D19" s="48"/>
      <c r="E19" s="46">
        <f t="shared" si="0"/>
        <v>150000</v>
      </c>
      <c r="F19" s="47"/>
      <c r="G19" s="48"/>
    </row>
    <row r="20" spans="2:7" ht="12">
      <c r="B20" s="42" t="s">
        <v>139</v>
      </c>
      <c r="C20" s="48"/>
      <c r="D20" s="48"/>
      <c r="E20" s="46"/>
      <c r="F20" s="47"/>
      <c r="G20" s="48"/>
    </row>
    <row r="21" spans="2:7" ht="12">
      <c r="B21" s="43" t="s">
        <v>199</v>
      </c>
      <c r="C21" s="48"/>
      <c r="D21" s="48"/>
      <c r="E21" s="46">
        <f t="shared" si="0"/>
        <v>0</v>
      </c>
      <c r="F21" s="50"/>
      <c r="G21" s="51"/>
    </row>
    <row r="22" spans="2:7" ht="12">
      <c r="B22" s="43" t="s">
        <v>200</v>
      </c>
      <c r="C22" s="48"/>
      <c r="D22" s="48"/>
      <c r="E22" s="46">
        <f t="shared" si="0"/>
        <v>0</v>
      </c>
      <c r="F22" s="52"/>
      <c r="G22" s="51"/>
    </row>
    <row r="23" spans="2:7" ht="12.75" thickBot="1">
      <c r="B23" s="43" t="s">
        <v>197</v>
      </c>
      <c r="C23" s="48"/>
      <c r="D23" s="48"/>
      <c r="E23" s="46">
        <f t="shared" si="0"/>
        <v>0</v>
      </c>
      <c r="G23" s="53"/>
    </row>
    <row r="24" spans="2:7" ht="12.75" thickBot="1">
      <c r="B24" s="43" t="s">
        <v>196</v>
      </c>
      <c r="C24" s="48">
        <v>182000</v>
      </c>
      <c r="D24" s="48">
        <v>12000</v>
      </c>
      <c r="E24" s="46">
        <f t="shared" si="0"/>
        <v>170000</v>
      </c>
      <c r="F24" s="98" t="s">
        <v>42</v>
      </c>
      <c r="G24" s="54">
        <f>SUM(G6:G7,G9:G13,G15,G17:G18)</f>
        <v>3830000</v>
      </c>
    </row>
    <row r="25" spans="2:7" ht="12">
      <c r="B25" s="43" t="s">
        <v>73</v>
      </c>
      <c r="C25" s="48">
        <v>90000</v>
      </c>
      <c r="D25" s="48"/>
      <c r="E25" s="46">
        <f t="shared" si="0"/>
        <v>90000</v>
      </c>
      <c r="F25" s="40" t="s">
        <v>214</v>
      </c>
      <c r="G25" s="55">
        <v>32000</v>
      </c>
    </row>
    <row r="26" spans="2:7" ht="12.75" thickBot="1">
      <c r="B26" s="43" t="s">
        <v>198</v>
      </c>
      <c r="C26" s="48"/>
      <c r="D26" s="48"/>
      <c r="E26" s="46">
        <f t="shared" si="0"/>
        <v>0</v>
      </c>
      <c r="F26" s="56" t="s">
        <v>215</v>
      </c>
      <c r="G26" s="51">
        <v>18000</v>
      </c>
    </row>
    <row r="27" spans="2:7" ht="12.75" thickBot="1">
      <c r="B27" s="98" t="s">
        <v>42</v>
      </c>
      <c r="C27" s="54">
        <f>SUM(C5:C26)</f>
        <v>5235000</v>
      </c>
      <c r="D27" s="54">
        <f>SUM(D5:D26)</f>
        <v>1419000</v>
      </c>
      <c r="E27" s="54">
        <f>SUM(E5:E26)</f>
        <v>3816000</v>
      </c>
      <c r="F27" s="98" t="s">
        <v>43</v>
      </c>
      <c r="G27" s="54">
        <f>G25+G26</f>
        <v>50000</v>
      </c>
    </row>
    <row r="28" spans="2:7" ht="12">
      <c r="B28" s="39" t="s">
        <v>74</v>
      </c>
      <c r="C28" s="48"/>
      <c r="D28" s="48"/>
      <c r="E28" s="48"/>
      <c r="F28" s="57" t="s">
        <v>284</v>
      </c>
      <c r="G28" s="58"/>
    </row>
    <row r="29" spans="2:7" ht="12">
      <c r="B29" s="59" t="s">
        <v>206</v>
      </c>
      <c r="C29" s="48"/>
      <c r="D29" s="48"/>
      <c r="E29" s="48"/>
      <c r="F29" s="60"/>
      <c r="G29" s="48"/>
    </row>
    <row r="30" spans="2:7" ht="12">
      <c r="B30" s="61" t="s">
        <v>201</v>
      </c>
      <c r="C30" s="48">
        <v>172000</v>
      </c>
      <c r="D30" s="48">
        <v>10000</v>
      </c>
      <c r="E30" s="48">
        <f>C30-D30</f>
        <v>162000</v>
      </c>
      <c r="F30" s="33" t="s">
        <v>216</v>
      </c>
      <c r="G30" s="48"/>
    </row>
    <row r="31" spans="2:7" ht="12">
      <c r="B31" s="61" t="s">
        <v>202</v>
      </c>
      <c r="C31" s="48"/>
      <c r="D31" s="48"/>
      <c r="E31" s="48">
        <f aca="true" t="shared" si="1" ref="E31:E44">C31-D31</f>
        <v>0</v>
      </c>
      <c r="F31" s="33" t="s">
        <v>217</v>
      </c>
      <c r="G31" s="48"/>
    </row>
    <row r="32" spans="2:7" ht="12">
      <c r="B32" s="61" t="s">
        <v>203</v>
      </c>
      <c r="C32" s="48">
        <v>469000</v>
      </c>
      <c r="D32" s="48">
        <v>9000</v>
      </c>
      <c r="E32" s="48">
        <f t="shared" si="1"/>
        <v>460000</v>
      </c>
      <c r="F32" s="43" t="s">
        <v>295</v>
      </c>
      <c r="G32" s="48">
        <v>520000</v>
      </c>
    </row>
    <row r="33" spans="2:7" ht="12">
      <c r="B33" s="43" t="s">
        <v>75</v>
      </c>
      <c r="C33" s="48"/>
      <c r="D33" s="48"/>
      <c r="E33" s="48">
        <f t="shared" si="1"/>
        <v>0</v>
      </c>
      <c r="F33" s="33" t="s">
        <v>218</v>
      </c>
      <c r="G33" s="62">
        <v>108000</v>
      </c>
    </row>
    <row r="34" spans="2:7" ht="12">
      <c r="B34" s="42" t="s">
        <v>204</v>
      </c>
      <c r="C34" s="48">
        <v>100000</v>
      </c>
      <c r="D34" s="48"/>
      <c r="E34" s="48">
        <f t="shared" si="1"/>
        <v>100000</v>
      </c>
      <c r="F34" s="42" t="s">
        <v>78</v>
      </c>
      <c r="G34" s="62">
        <v>50000</v>
      </c>
    </row>
    <row r="35" spans="2:7" ht="12">
      <c r="B35" s="42" t="s">
        <v>205</v>
      </c>
      <c r="C35" s="48"/>
      <c r="D35" s="48"/>
      <c r="E35" s="48"/>
      <c r="F35" s="42" t="s">
        <v>219</v>
      </c>
      <c r="G35" s="48"/>
    </row>
    <row r="36" spans="2:7" ht="12">
      <c r="B36" s="43" t="s">
        <v>77</v>
      </c>
      <c r="C36" s="48">
        <v>982000</v>
      </c>
      <c r="D36" s="48">
        <v>42000</v>
      </c>
      <c r="E36" s="48">
        <f t="shared" si="1"/>
        <v>940000</v>
      </c>
      <c r="F36" s="43" t="s">
        <v>80</v>
      </c>
      <c r="G36" s="48">
        <v>802000</v>
      </c>
    </row>
    <row r="37" spans="2:7" ht="12">
      <c r="B37" s="43" t="s">
        <v>79</v>
      </c>
      <c r="C37" s="48">
        <v>135000</v>
      </c>
      <c r="D37" s="48"/>
      <c r="E37" s="48">
        <f t="shared" si="1"/>
        <v>135000</v>
      </c>
      <c r="F37" s="63" t="s">
        <v>82</v>
      </c>
      <c r="G37" s="48">
        <v>123000</v>
      </c>
    </row>
    <row r="38" spans="2:7" ht="12">
      <c r="B38" s="43" t="s">
        <v>207</v>
      </c>
      <c r="C38" s="48"/>
      <c r="D38" s="48"/>
      <c r="E38" s="48">
        <f t="shared" si="1"/>
        <v>0</v>
      </c>
      <c r="F38" s="63" t="s">
        <v>220</v>
      </c>
      <c r="G38" s="48">
        <v>54000</v>
      </c>
    </row>
    <row r="39" spans="2:7" ht="12">
      <c r="B39" s="43" t="s">
        <v>81</v>
      </c>
      <c r="C39" s="48">
        <v>63000</v>
      </c>
      <c r="D39" s="48">
        <v>3000</v>
      </c>
      <c r="E39" s="48">
        <f t="shared" si="1"/>
        <v>60000</v>
      </c>
      <c r="F39" s="64" t="s">
        <v>221</v>
      </c>
      <c r="G39" s="48"/>
    </row>
    <row r="40" spans="2:7" ht="12">
      <c r="B40" s="43" t="s">
        <v>83</v>
      </c>
      <c r="C40" s="48">
        <v>208500</v>
      </c>
      <c r="D40" s="48"/>
      <c r="E40" s="48">
        <f t="shared" si="1"/>
        <v>208500</v>
      </c>
      <c r="F40" s="63" t="s">
        <v>84</v>
      </c>
      <c r="G40" s="48">
        <v>110000</v>
      </c>
    </row>
    <row r="41" spans="2:7" ht="12">
      <c r="B41" s="43" t="s">
        <v>225</v>
      </c>
      <c r="C41" s="48">
        <v>56000</v>
      </c>
      <c r="D41" s="48"/>
      <c r="E41" s="48">
        <f t="shared" si="1"/>
        <v>56000</v>
      </c>
      <c r="F41" s="63" t="s">
        <v>222</v>
      </c>
      <c r="G41" s="48">
        <v>147000</v>
      </c>
    </row>
    <row r="42" spans="2:7" ht="12">
      <c r="B42" s="43" t="s">
        <v>208</v>
      </c>
      <c r="C42" s="48">
        <v>90000</v>
      </c>
      <c r="D42" s="48"/>
      <c r="E42" s="48">
        <f t="shared" si="1"/>
        <v>90000</v>
      </c>
      <c r="F42" s="47" t="s">
        <v>268</v>
      </c>
      <c r="G42" s="48">
        <v>190000</v>
      </c>
    </row>
    <row r="43" spans="2:7" ht="12">
      <c r="B43" s="43" t="s">
        <v>209</v>
      </c>
      <c r="C43" s="48"/>
      <c r="D43" s="48"/>
      <c r="E43" s="48">
        <f t="shared" si="1"/>
        <v>0</v>
      </c>
      <c r="F43" s="63" t="s">
        <v>224</v>
      </c>
      <c r="G43" s="48">
        <v>43500</v>
      </c>
    </row>
    <row r="44" spans="2:7" ht="12.75" thickBot="1">
      <c r="B44" s="56" t="s">
        <v>210</v>
      </c>
      <c r="C44" s="48"/>
      <c r="D44" s="48"/>
      <c r="E44" s="48">
        <f t="shared" si="1"/>
        <v>0</v>
      </c>
      <c r="F44" s="65" t="s">
        <v>226</v>
      </c>
      <c r="G44" s="66"/>
    </row>
    <row r="45" spans="2:7" ht="12.75" thickBot="1">
      <c r="B45" s="98" t="s">
        <v>43</v>
      </c>
      <c r="C45" s="54">
        <f>SUM(C30:C44)</f>
        <v>2275500</v>
      </c>
      <c r="D45" s="54">
        <f>SUM(D30:D44)</f>
        <v>64000</v>
      </c>
      <c r="E45" s="54">
        <f>SUM(E30:E44)</f>
        <v>2211500</v>
      </c>
      <c r="F45" s="98" t="s">
        <v>44</v>
      </c>
      <c r="G45" s="67">
        <f>SUM(G32:G44)</f>
        <v>2147500</v>
      </c>
    </row>
    <row r="46" spans="2:7" ht="12.75" thickBot="1">
      <c r="B46" s="99" t="s">
        <v>85</v>
      </c>
      <c r="C46" s="68">
        <f>C27+C45</f>
        <v>7510500</v>
      </c>
      <c r="D46" s="68">
        <f>D27+D45</f>
        <v>1483000</v>
      </c>
      <c r="E46" s="68">
        <f>E27+E45</f>
        <v>6027500</v>
      </c>
      <c r="F46" s="99" t="s">
        <v>85</v>
      </c>
      <c r="G46" s="68">
        <f>G24+G27+G45</f>
        <v>6027500</v>
      </c>
    </row>
    <row r="47" spans="2:7" ht="12">
      <c r="B47" s="69" t="s">
        <v>299</v>
      </c>
      <c r="C47" s="70">
        <v>180000</v>
      </c>
      <c r="D47" s="71"/>
      <c r="E47" s="71"/>
      <c r="F47" s="72" t="s">
        <v>297</v>
      </c>
      <c r="G47" s="73">
        <v>80000</v>
      </c>
    </row>
    <row r="48" spans="2:7" ht="12">
      <c r="B48" s="47" t="s">
        <v>298</v>
      </c>
      <c r="C48" s="74">
        <v>50000</v>
      </c>
      <c r="D48" s="65"/>
      <c r="E48" s="65"/>
      <c r="F48" s="75" t="s">
        <v>302</v>
      </c>
      <c r="G48" s="76"/>
    </row>
    <row r="49" spans="2:7" ht="12">
      <c r="B49" s="77" t="s">
        <v>300</v>
      </c>
      <c r="C49" s="78">
        <v>378910</v>
      </c>
      <c r="D49" s="79"/>
      <c r="E49" s="79"/>
      <c r="F49" s="79"/>
      <c r="G49" s="80"/>
    </row>
    <row r="50" spans="2:7" ht="12.75" thickBot="1">
      <c r="B50" s="81" t="s">
        <v>301</v>
      </c>
      <c r="C50" s="82">
        <v>500000</v>
      </c>
      <c r="D50" s="83"/>
      <c r="E50" s="83"/>
      <c r="F50" s="83"/>
      <c r="G50" s="84"/>
    </row>
  </sheetData>
  <sheetProtection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6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0" customWidth="1"/>
    <col min="2" max="2" width="52.8515625" style="20" customWidth="1"/>
    <col min="3" max="3" width="16.8515625" style="20" customWidth="1"/>
    <col min="4" max="4" width="15.7109375" style="20" customWidth="1"/>
    <col min="5" max="5" width="14.7109375" style="20" customWidth="1"/>
    <col min="6" max="16384" width="11.421875" style="20" customWidth="1"/>
  </cols>
  <sheetData>
    <row r="1" spans="2:5" ht="16.5" thickBot="1">
      <c r="B1" s="307"/>
      <c r="C1" s="307"/>
      <c r="D1" s="307"/>
      <c r="E1" s="307"/>
    </row>
    <row r="2" spans="2:5" ht="16.5" thickBot="1">
      <c r="B2" s="192" t="s">
        <v>363</v>
      </c>
      <c r="C2" s="193"/>
      <c r="D2" s="193"/>
      <c r="E2" s="194"/>
    </row>
    <row r="3" spans="2:5" ht="16.5" thickBot="1">
      <c r="B3" s="315" t="s">
        <v>107</v>
      </c>
      <c r="C3" s="320" t="s">
        <v>362</v>
      </c>
      <c r="D3" s="316"/>
      <c r="E3" s="317"/>
    </row>
    <row r="4" spans="2:5" ht="16.5" thickBot="1">
      <c r="B4" s="318"/>
      <c r="C4" s="251" t="s">
        <v>108</v>
      </c>
      <c r="D4" s="251" t="s">
        <v>109</v>
      </c>
      <c r="E4" s="251" t="s">
        <v>110</v>
      </c>
    </row>
    <row r="5" spans="2:5" ht="16.5" thickBot="1">
      <c r="B5" s="319"/>
      <c r="C5" s="321">
        <v>1</v>
      </c>
      <c r="D5" s="321">
        <v>2</v>
      </c>
      <c r="E5" s="321" t="s">
        <v>111</v>
      </c>
    </row>
    <row r="6" spans="2:5" ht="15.75">
      <c r="B6" s="330" t="s">
        <v>112</v>
      </c>
      <c r="C6" s="313"/>
      <c r="D6" s="313"/>
      <c r="E6" s="334"/>
    </row>
    <row r="7" spans="2:5" ht="15.75">
      <c r="B7" s="331" t="s">
        <v>113</v>
      </c>
      <c r="C7" s="198"/>
      <c r="D7" s="198"/>
      <c r="E7" s="32"/>
    </row>
    <row r="8" spans="2:5" ht="15.75">
      <c r="B8" s="30" t="s">
        <v>114</v>
      </c>
      <c r="C8" s="28">
        <f>('Bilan N'!C30+'Bilan N'!C32)-('Bilan N-1'!C30+'Bilan N-1'!C32)</f>
        <v>73000</v>
      </c>
      <c r="D8" s="198"/>
      <c r="E8" s="335"/>
    </row>
    <row r="9" spans="2:5" ht="15.75">
      <c r="B9" s="30" t="s">
        <v>115</v>
      </c>
      <c r="C9" s="28">
        <f>'Bilan N'!C34-'Bilan N-1'!C34</f>
        <v>170000</v>
      </c>
      <c r="D9" s="198"/>
      <c r="E9" s="335"/>
    </row>
    <row r="10" spans="2:5" ht="15.75">
      <c r="B10" s="332" t="s">
        <v>152</v>
      </c>
      <c r="C10" s="336">
        <f>('Bilan N'!C36+'Bilan N'!C37+'Bilan N'!C41+'Bilan N'!C49+'Bilan N'!C44)-('Bilan N-1'!C36+'Bilan N-1'!C37+'Bilan N-1'!C41+'Bilan N-1'!C48)</f>
        <v>76800</v>
      </c>
      <c r="D10" s="198"/>
      <c r="E10" s="335"/>
    </row>
    <row r="11" spans="2:5" ht="15.75">
      <c r="B11" s="332"/>
      <c r="C11" s="336"/>
      <c r="D11" s="198"/>
      <c r="E11" s="335"/>
    </row>
    <row r="12" spans="2:5" ht="15.75">
      <c r="B12" s="331" t="s">
        <v>116</v>
      </c>
      <c r="C12" s="198"/>
      <c r="D12" s="198"/>
      <c r="E12" s="335"/>
    </row>
    <row r="13" spans="2:5" ht="15.75">
      <c r="B13" s="30" t="s">
        <v>117</v>
      </c>
      <c r="C13" s="28">
        <f>'Bilan N-1'!G34-'Bilan N'!G34</f>
        <v>20000</v>
      </c>
      <c r="D13" s="198"/>
      <c r="E13" s="335"/>
    </row>
    <row r="14" spans="2:5" ht="15.75">
      <c r="B14" s="333" t="s">
        <v>153</v>
      </c>
      <c r="C14" s="198"/>
      <c r="D14" s="28">
        <f>('Bilan N'!G36+'Bilan N'!G37+'Bilan N'!G38+'Bilan N'!G43+'Bilan N'!G44)-('Bilan N-1'!G36+'Bilan N-1'!G37+'Bilan N-1'!G38+'Bilan N-1'!G43)</f>
        <v>177940</v>
      </c>
      <c r="E14" s="335"/>
    </row>
    <row r="15" spans="2:5" ht="16.5" thickBot="1">
      <c r="B15" s="333"/>
      <c r="C15" s="199"/>
      <c r="D15" s="199"/>
      <c r="E15" s="335"/>
    </row>
    <row r="16" spans="2:5" ht="16.5" thickBot="1">
      <c r="B16" s="308" t="s">
        <v>88</v>
      </c>
      <c r="C16" s="189">
        <f>SUM(C8:C15)</f>
        <v>339800</v>
      </c>
      <c r="D16" s="189">
        <f>SUM(D8:D15)</f>
        <v>177940</v>
      </c>
      <c r="E16" s="329"/>
    </row>
    <row r="17" spans="2:5" ht="16.5" thickBot="1">
      <c r="B17" s="324" t="s">
        <v>118</v>
      </c>
      <c r="C17" s="325"/>
      <c r="D17" s="325"/>
      <c r="E17" s="255">
        <f>D16-C16</f>
        <v>-161860</v>
      </c>
    </row>
    <row r="18" spans="2:5" ht="15.75">
      <c r="B18" s="322" t="s">
        <v>119</v>
      </c>
      <c r="C18" s="314"/>
      <c r="D18" s="190"/>
      <c r="E18" s="25"/>
    </row>
    <row r="19" spans="2:5" ht="15.75">
      <c r="B19" s="198" t="s">
        <v>120</v>
      </c>
      <c r="C19" s="25"/>
      <c r="D19" s="328">
        <f>'Bilan N-1'!C39-('Bilan N'!C39+'Bilan N'!C48)</f>
        <v>30000</v>
      </c>
      <c r="E19" s="25"/>
    </row>
    <row r="20" spans="2:5" ht="16.5" thickBot="1">
      <c r="B20" s="198" t="s">
        <v>121</v>
      </c>
      <c r="C20" s="189"/>
      <c r="D20" s="328">
        <f>('Bilan N'!G40+'Bilan N'!G41+'Bilan N'!G42+'Bilan N'!C47)-('Bilan N-1'!G40+'Bilan N-1'!G41+'Bilan N-1'!G42-'Bilan N-1'!C47)</f>
        <v>170990</v>
      </c>
      <c r="E20" s="25"/>
    </row>
    <row r="21" spans="2:5" ht="16.5" thickBot="1">
      <c r="B21" s="308" t="s">
        <v>88</v>
      </c>
      <c r="C21" s="188">
        <f>SUM(C19:C20)</f>
        <v>0</v>
      </c>
      <c r="D21" s="188">
        <f>SUM(D19:D20)</f>
        <v>200990</v>
      </c>
      <c r="E21" s="25"/>
    </row>
    <row r="22" spans="2:5" ht="16.5" thickBot="1">
      <c r="B22" s="324" t="s">
        <v>122</v>
      </c>
      <c r="C22" s="325"/>
      <c r="D22" s="340"/>
      <c r="E22" s="255">
        <f>D21-C21</f>
        <v>200990</v>
      </c>
    </row>
    <row r="23" spans="2:5" ht="16.5" thickBot="1">
      <c r="B23" s="337" t="s">
        <v>123</v>
      </c>
      <c r="C23" s="338"/>
      <c r="D23" s="339"/>
      <c r="E23" s="328"/>
    </row>
    <row r="24" spans="2:5" ht="16.5" thickBot="1">
      <c r="B24" s="326" t="s">
        <v>155</v>
      </c>
      <c r="C24" s="327"/>
      <c r="D24" s="342"/>
      <c r="E24" s="255">
        <f>IF(E17+E22&lt;0,-(E17+E22),0)</f>
        <v>0</v>
      </c>
    </row>
    <row r="25" spans="2:5" ht="16.5" thickBot="1">
      <c r="B25" s="326" t="s">
        <v>124</v>
      </c>
      <c r="C25" s="327"/>
      <c r="D25" s="342"/>
      <c r="E25" s="328"/>
    </row>
    <row r="26" spans="2:5" ht="16.5" thickBot="1">
      <c r="B26" s="343" t="s">
        <v>156</v>
      </c>
      <c r="C26" s="344"/>
      <c r="D26" s="345"/>
      <c r="E26" s="255">
        <f>IF(E17+E22&gt;0,E17+E22,0)</f>
        <v>39130</v>
      </c>
    </row>
    <row r="27" spans="2:5" ht="15.75">
      <c r="B27" s="346" t="s">
        <v>125</v>
      </c>
      <c r="C27" s="313"/>
      <c r="D27" s="313"/>
      <c r="E27" s="328"/>
    </row>
    <row r="28" spans="2:5" ht="15.75">
      <c r="B28" s="347" t="s">
        <v>126</v>
      </c>
      <c r="C28" s="28">
        <f>'Bilan N'!C40-'Bilan N-1'!C40</f>
        <v>26700</v>
      </c>
      <c r="D28" s="28"/>
      <c r="E28" s="328"/>
    </row>
    <row r="29" spans="2:5" ht="15.75">
      <c r="B29" s="332" t="s">
        <v>154</v>
      </c>
      <c r="C29" s="28"/>
      <c r="D29" s="28">
        <f>('Bilan N'!G47+'Bilan N'!C49)-('Bilan N-1'!G47+'Bilan N-1'!C48)</f>
        <v>88000</v>
      </c>
      <c r="E29" s="328"/>
    </row>
    <row r="30" spans="2:5" ht="16.5" thickBot="1">
      <c r="B30" s="332"/>
      <c r="C30" s="26"/>
      <c r="D30" s="26"/>
      <c r="E30" s="328"/>
    </row>
    <row r="31" spans="2:5" ht="16.5" thickBot="1">
      <c r="B31" s="348" t="s">
        <v>88</v>
      </c>
      <c r="C31" s="349">
        <f>SUM(C28:C30)</f>
        <v>26700</v>
      </c>
      <c r="D31" s="27">
        <f>SUM(D28:D30)</f>
        <v>88000</v>
      </c>
      <c r="E31" s="25"/>
    </row>
    <row r="32" spans="2:5" ht="16.5" thickBot="1">
      <c r="B32" s="324" t="s">
        <v>127</v>
      </c>
      <c r="C32" s="325"/>
      <c r="D32" s="340"/>
      <c r="E32" s="255">
        <f>D31-C31</f>
        <v>61300</v>
      </c>
    </row>
    <row r="33" spans="2:5" ht="16.5" thickBot="1">
      <c r="B33" s="326" t="s">
        <v>157</v>
      </c>
      <c r="C33" s="350"/>
      <c r="D33" s="351"/>
      <c r="E33" s="328"/>
    </row>
    <row r="34" spans="2:5" ht="16.5" thickBot="1">
      <c r="B34" s="326" t="s">
        <v>128</v>
      </c>
      <c r="C34" s="350"/>
      <c r="D34" s="351"/>
      <c r="E34" s="255">
        <f>IF(E17+E22+E32&lt;0,-(E17+E22+E32),0)</f>
        <v>0</v>
      </c>
    </row>
    <row r="35" spans="2:5" ht="16.5" thickBot="1">
      <c r="B35" s="326" t="s">
        <v>124</v>
      </c>
      <c r="C35" s="350"/>
      <c r="D35" s="351"/>
      <c r="E35" s="328"/>
    </row>
    <row r="36" spans="2:5" ht="16.5" thickBot="1">
      <c r="B36" s="343" t="s">
        <v>129</v>
      </c>
      <c r="C36" s="352"/>
      <c r="D36" s="353"/>
      <c r="E36" s="354">
        <f>IF(E17+E22+E32&gt;0,E17+E22+E32,0)</f>
        <v>100430</v>
      </c>
    </row>
  </sheetData>
  <sheetProtection/>
  <mergeCells count="19">
    <mergeCell ref="B23:D23"/>
    <mergeCell ref="B34:D34"/>
    <mergeCell ref="B35:D35"/>
    <mergeCell ref="B36:D36"/>
    <mergeCell ref="B33:D33"/>
    <mergeCell ref="B10:B11"/>
    <mergeCell ref="B14:B15"/>
    <mergeCell ref="B29:B30"/>
    <mergeCell ref="B22:D22"/>
    <mergeCell ref="B24:D24"/>
    <mergeCell ref="B26:D26"/>
    <mergeCell ref="B32:D32"/>
    <mergeCell ref="B1:E1"/>
    <mergeCell ref="C3:E3"/>
    <mergeCell ref="B17:D17"/>
    <mergeCell ref="B2:E2"/>
    <mergeCell ref="B3:B5"/>
    <mergeCell ref="C10:C11"/>
    <mergeCell ref="B25:D2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3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0" customWidth="1"/>
    <col min="2" max="2" width="17.421875" style="20" customWidth="1"/>
    <col min="3" max="3" width="3.7109375" style="276" customWidth="1"/>
    <col min="4" max="4" width="18.57421875" style="20" customWidth="1"/>
    <col min="5" max="5" width="3.7109375" style="276" customWidth="1"/>
    <col min="6" max="6" width="18.140625" style="20" customWidth="1"/>
    <col min="7" max="7" width="15.140625" style="20" customWidth="1"/>
    <col min="8" max="16384" width="11.421875" style="20" customWidth="1"/>
  </cols>
  <sheetData>
    <row r="1" ht="16.5" thickBot="1"/>
    <row r="2" spans="2:7" ht="16.5" thickBot="1">
      <c r="B2" s="355" t="s">
        <v>364</v>
      </c>
      <c r="C2" s="356"/>
      <c r="D2" s="356"/>
      <c r="E2" s="356"/>
      <c r="F2" s="356"/>
      <c r="G2" s="357"/>
    </row>
    <row r="3" spans="2:7" ht="16.5" thickBot="1">
      <c r="B3" s="250" t="s">
        <v>365</v>
      </c>
      <c r="C3" s="267" t="s">
        <v>91</v>
      </c>
      <c r="D3" s="267" t="s">
        <v>289</v>
      </c>
      <c r="E3" s="267" t="s">
        <v>90</v>
      </c>
      <c r="F3" s="200" t="s">
        <v>290</v>
      </c>
      <c r="G3" s="372"/>
    </row>
    <row r="4" spans="2:7" ht="16.5" thickBot="1">
      <c r="B4" s="359" t="s">
        <v>365</v>
      </c>
      <c r="C4" s="360" t="s">
        <v>91</v>
      </c>
      <c r="D4" s="373">
        <f>SIG!G15</f>
        <v>1401980</v>
      </c>
      <c r="E4" s="358" t="s">
        <v>90</v>
      </c>
      <c r="F4" s="374">
        <f>-'Tableau de financement II'!E17</f>
        <v>161860</v>
      </c>
      <c r="G4" s="354">
        <f>D4-F4</f>
        <v>1240120</v>
      </c>
    </row>
    <row r="5" ht="16.5" thickBot="1"/>
    <row r="6" spans="2:7" ht="16.5" thickBot="1">
      <c r="B6" s="355" t="s">
        <v>367</v>
      </c>
      <c r="C6" s="356"/>
      <c r="D6" s="356"/>
      <c r="E6" s="356"/>
      <c r="F6" s="356"/>
      <c r="G6" s="357"/>
    </row>
    <row r="7" spans="2:7" s="31" customFormat="1" ht="15.75">
      <c r="B7" s="330" t="s">
        <v>22</v>
      </c>
      <c r="C7" s="362"/>
      <c r="D7" s="363"/>
      <c r="E7" s="362"/>
      <c r="F7" s="364"/>
      <c r="G7" s="197">
        <f>'Tableau de résultat'!C30+'Tableau de résultat'!C35</f>
        <v>128300</v>
      </c>
    </row>
    <row r="8" spans="2:7" s="31" customFormat="1" ht="15.75">
      <c r="B8" s="323" t="s">
        <v>291</v>
      </c>
      <c r="C8" s="341"/>
      <c r="D8" s="190"/>
      <c r="E8" s="341"/>
      <c r="F8" s="335"/>
      <c r="G8" s="28">
        <f>'Tableau de résultat'!C45</f>
        <v>212900</v>
      </c>
    </row>
    <row r="9" spans="2:7" s="31" customFormat="1" ht="15.75">
      <c r="B9" s="323" t="s">
        <v>292</v>
      </c>
      <c r="C9" s="341"/>
      <c r="D9" s="190"/>
      <c r="E9" s="341"/>
      <c r="F9" s="335"/>
      <c r="G9" s="28">
        <f>'Tableau de financement I'!C19</f>
        <v>478910</v>
      </c>
    </row>
    <row r="10" spans="2:7" s="31" customFormat="1" ht="15.75">
      <c r="B10" s="323" t="s">
        <v>293</v>
      </c>
      <c r="C10" s="341"/>
      <c r="D10" s="190"/>
      <c r="E10" s="341"/>
      <c r="F10" s="335"/>
      <c r="G10" s="28">
        <f>'Tableau de financement I'!C5</f>
        <v>180000</v>
      </c>
    </row>
    <row r="11" spans="2:7" s="31" customFormat="1" ht="16.5" thickBot="1">
      <c r="B11" s="365" t="s">
        <v>294</v>
      </c>
      <c r="C11" s="366"/>
      <c r="D11" s="367"/>
      <c r="E11" s="366"/>
      <c r="F11" s="368"/>
      <c r="G11" s="26">
        <f>G4-SUM(G7:G10)</f>
        <v>240010</v>
      </c>
    </row>
    <row r="12" spans="2:7" ht="16.5" thickBot="1">
      <c r="B12" s="369" t="s">
        <v>366</v>
      </c>
      <c r="C12" s="370"/>
      <c r="D12" s="370"/>
      <c r="E12" s="370"/>
      <c r="F12" s="371"/>
      <c r="G12" s="361">
        <f>SUM(G7:G11)</f>
        <v>1240120</v>
      </c>
    </row>
    <row r="13" spans="2:7" ht="15.75">
      <c r="B13" s="190"/>
      <c r="C13" s="341"/>
      <c r="D13" s="190"/>
      <c r="E13" s="341"/>
      <c r="F13" s="190"/>
      <c r="G13" s="151"/>
    </row>
  </sheetData>
  <sheetProtection/>
  <mergeCells count="3">
    <mergeCell ref="B2:G2"/>
    <mergeCell ref="B6:G6"/>
    <mergeCell ref="B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33" customWidth="1"/>
    <col min="2" max="2" width="30.7109375" style="33" customWidth="1"/>
    <col min="3" max="5" width="9.7109375" style="33" customWidth="1"/>
    <col min="6" max="6" width="30.7109375" style="33" customWidth="1"/>
    <col min="7" max="7" width="9.7109375" style="33" customWidth="1"/>
    <col min="8" max="8" width="11.421875" style="33" customWidth="1"/>
    <col min="9" max="9" width="11.7109375" style="33" bestFit="1" customWidth="1"/>
    <col min="10" max="16384" width="11.421875" style="33" customWidth="1"/>
  </cols>
  <sheetData>
    <row r="1" spans="2:3" ht="12.75" thickBot="1">
      <c r="B1" s="86"/>
      <c r="C1" s="87"/>
    </row>
    <row r="2" spans="2:7" ht="12.75" thickBot="1">
      <c r="B2" s="34" t="s">
        <v>368</v>
      </c>
      <c r="C2" s="35"/>
      <c r="D2" s="35"/>
      <c r="E2" s="35"/>
      <c r="F2" s="35"/>
      <c r="G2" s="36"/>
    </row>
    <row r="3" spans="2:7" ht="12.75" thickBot="1">
      <c r="B3" s="37" t="s">
        <v>55</v>
      </c>
      <c r="C3" s="38" t="s">
        <v>56</v>
      </c>
      <c r="D3" s="38" t="s">
        <v>57</v>
      </c>
      <c r="E3" s="38" t="s">
        <v>58</v>
      </c>
      <c r="F3" s="37" t="s">
        <v>60</v>
      </c>
      <c r="G3" s="38" t="s">
        <v>28</v>
      </c>
    </row>
    <row r="4" spans="2:7" ht="12">
      <c r="B4" s="39" t="s">
        <v>62</v>
      </c>
      <c r="C4" s="40"/>
      <c r="D4" s="40"/>
      <c r="E4" s="40"/>
      <c r="F4" s="41" t="s">
        <v>63</v>
      </c>
      <c r="G4" s="40"/>
    </row>
    <row r="5" spans="2:7" ht="12">
      <c r="B5" s="42" t="s">
        <v>87</v>
      </c>
      <c r="C5" s="43"/>
      <c r="D5" s="43"/>
      <c r="E5" s="44"/>
      <c r="F5" s="45"/>
      <c r="G5" s="43"/>
    </row>
    <row r="6" spans="2:7" ht="12">
      <c r="B6" s="43" t="s">
        <v>187</v>
      </c>
      <c r="C6" s="46">
        <v>156000</v>
      </c>
      <c r="D6" s="46">
        <v>124000</v>
      </c>
      <c r="E6" s="46">
        <f aca="true" t="shared" si="0" ref="E6:E26">C6-D6</f>
        <v>32000</v>
      </c>
      <c r="F6" s="47" t="s">
        <v>64</v>
      </c>
      <c r="G6" s="46">
        <v>3130000</v>
      </c>
    </row>
    <row r="7" spans="2:7" ht="12">
      <c r="B7" s="43" t="s">
        <v>188</v>
      </c>
      <c r="C7" s="46"/>
      <c r="D7" s="46"/>
      <c r="E7" s="46">
        <f t="shared" si="0"/>
        <v>0</v>
      </c>
      <c r="F7" s="47" t="s">
        <v>66</v>
      </c>
      <c r="G7" s="46">
        <v>32500</v>
      </c>
    </row>
    <row r="8" spans="2:7" ht="12">
      <c r="B8" s="43" t="s">
        <v>193</v>
      </c>
      <c r="C8" s="48">
        <v>240000</v>
      </c>
      <c r="D8" s="48">
        <v>104000</v>
      </c>
      <c r="E8" s="46">
        <f t="shared" si="0"/>
        <v>136000</v>
      </c>
      <c r="G8" s="48"/>
    </row>
    <row r="9" spans="2:7" ht="12">
      <c r="B9" s="43" t="s">
        <v>189</v>
      </c>
      <c r="C9" s="48">
        <v>600000</v>
      </c>
      <c r="D9" s="48"/>
      <c r="E9" s="46">
        <f t="shared" si="0"/>
        <v>600000</v>
      </c>
      <c r="F9" s="47" t="s">
        <v>68</v>
      </c>
      <c r="G9" s="48">
        <v>300000</v>
      </c>
    </row>
    <row r="10" spans="2:7" ht="12">
      <c r="B10" s="43" t="s">
        <v>190</v>
      </c>
      <c r="C10" s="48"/>
      <c r="D10" s="48"/>
      <c r="E10" s="46">
        <f t="shared" si="0"/>
        <v>0</v>
      </c>
      <c r="F10" s="47" t="s">
        <v>70</v>
      </c>
      <c r="G10" s="48">
        <v>300000</v>
      </c>
    </row>
    <row r="11" spans="2:7" ht="12">
      <c r="B11" s="43" t="s">
        <v>191</v>
      </c>
      <c r="C11" s="48"/>
      <c r="D11" s="48"/>
      <c r="E11" s="46">
        <f t="shared" si="0"/>
        <v>0</v>
      </c>
      <c r="F11" s="47" t="s">
        <v>211</v>
      </c>
      <c r="G11" s="48"/>
    </row>
    <row r="12" spans="2:7" ht="12">
      <c r="B12" s="43" t="s">
        <v>192</v>
      </c>
      <c r="C12" s="48"/>
      <c r="D12" s="48"/>
      <c r="E12" s="46">
        <f t="shared" si="0"/>
        <v>0</v>
      </c>
      <c r="F12" s="47" t="s">
        <v>212</v>
      </c>
      <c r="G12" s="48">
        <v>150000</v>
      </c>
    </row>
    <row r="13" spans="2:7" ht="12">
      <c r="B13" s="42" t="s">
        <v>137</v>
      </c>
      <c r="C13" s="48"/>
      <c r="D13" s="48"/>
      <c r="E13" s="46"/>
      <c r="F13" s="47" t="s">
        <v>72</v>
      </c>
      <c r="G13" s="48"/>
    </row>
    <row r="14" spans="2:7" ht="12">
      <c r="B14" s="43" t="s">
        <v>65</v>
      </c>
      <c r="C14" s="48">
        <v>154000</v>
      </c>
      <c r="D14" s="48"/>
      <c r="E14" s="46">
        <f t="shared" si="0"/>
        <v>154000</v>
      </c>
      <c r="F14" s="47"/>
      <c r="G14" s="48"/>
    </row>
    <row r="15" spans="2:7" ht="12">
      <c r="B15" s="43" t="s">
        <v>67</v>
      </c>
      <c r="C15" s="48">
        <v>1430000</v>
      </c>
      <c r="D15" s="48">
        <v>385000</v>
      </c>
      <c r="E15" s="46">
        <f t="shared" si="0"/>
        <v>1045000</v>
      </c>
      <c r="F15" s="49" t="s">
        <v>227</v>
      </c>
      <c r="G15" s="48">
        <f>E46-SUM(G6:G7,G9:G10,G12,G17:G18)-G27-G45</f>
        <v>207980</v>
      </c>
    </row>
    <row r="16" spans="2:7" ht="12">
      <c r="B16" s="43" t="s">
        <v>69</v>
      </c>
      <c r="C16" s="48">
        <v>3352000</v>
      </c>
      <c r="D16" s="48">
        <v>1105500</v>
      </c>
      <c r="E16" s="46">
        <f t="shared" si="0"/>
        <v>2246500</v>
      </c>
      <c r="G16" s="48"/>
    </row>
    <row r="17" spans="2:7" ht="12">
      <c r="B17" s="43" t="s">
        <v>71</v>
      </c>
      <c r="C17" s="48">
        <v>542000</v>
      </c>
      <c r="D17" s="48">
        <v>183300</v>
      </c>
      <c r="E17" s="46">
        <f t="shared" si="0"/>
        <v>358700</v>
      </c>
      <c r="F17" s="47" t="s">
        <v>213</v>
      </c>
      <c r="G17" s="48">
        <v>60000</v>
      </c>
    </row>
    <row r="18" spans="2:7" ht="12">
      <c r="B18" s="43" t="s">
        <v>194</v>
      </c>
      <c r="C18" s="48"/>
      <c r="D18" s="48"/>
      <c r="E18" s="46">
        <f t="shared" si="0"/>
        <v>0</v>
      </c>
      <c r="F18" s="47" t="s">
        <v>86</v>
      </c>
      <c r="G18" s="48">
        <v>48000</v>
      </c>
    </row>
    <row r="19" spans="2:7" ht="12">
      <c r="B19" s="43" t="s">
        <v>195</v>
      </c>
      <c r="C19" s="48">
        <v>60000</v>
      </c>
      <c r="D19" s="48"/>
      <c r="E19" s="46">
        <f t="shared" si="0"/>
        <v>60000</v>
      </c>
      <c r="F19" s="47"/>
      <c r="G19" s="48"/>
    </row>
    <row r="20" spans="2:7" ht="12">
      <c r="B20" s="42" t="s">
        <v>139</v>
      </c>
      <c r="C20" s="48"/>
      <c r="D20" s="48"/>
      <c r="E20" s="46"/>
      <c r="F20" s="47"/>
      <c r="G20" s="48"/>
    </row>
    <row r="21" spans="2:9" ht="12">
      <c r="B21" s="43" t="s">
        <v>199</v>
      </c>
      <c r="C21" s="48"/>
      <c r="D21" s="48"/>
      <c r="E21" s="46">
        <f t="shared" si="0"/>
        <v>0</v>
      </c>
      <c r="F21" s="50"/>
      <c r="G21" s="58"/>
      <c r="I21" s="88"/>
    </row>
    <row r="22" spans="2:7" ht="12">
      <c r="B22" s="43" t="s">
        <v>200</v>
      </c>
      <c r="C22" s="48"/>
      <c r="D22" s="48"/>
      <c r="E22" s="46">
        <f t="shared" si="0"/>
        <v>0</v>
      </c>
      <c r="F22" s="52"/>
      <c r="G22" s="58"/>
    </row>
    <row r="23" spans="2:7" ht="12.75" thickBot="1">
      <c r="B23" s="43" t="s">
        <v>197</v>
      </c>
      <c r="C23" s="48"/>
      <c r="D23" s="48"/>
      <c r="E23" s="46">
        <f t="shared" si="0"/>
        <v>0</v>
      </c>
      <c r="G23" s="89"/>
    </row>
    <row r="24" spans="2:7" ht="12.75" thickBot="1">
      <c r="B24" s="43" t="s">
        <v>196</v>
      </c>
      <c r="C24" s="48">
        <v>142000</v>
      </c>
      <c r="D24" s="48">
        <v>4000</v>
      </c>
      <c r="E24" s="46">
        <f t="shared" si="0"/>
        <v>138000</v>
      </c>
      <c r="F24" s="98" t="s">
        <v>42</v>
      </c>
      <c r="G24" s="54">
        <f>SUM(G6:G7,G9:G10,G12,G15,G17:G18)</f>
        <v>4228480</v>
      </c>
    </row>
    <row r="25" spans="2:7" ht="12">
      <c r="B25" s="43" t="s">
        <v>280</v>
      </c>
      <c r="C25" s="48">
        <v>47000</v>
      </c>
      <c r="D25" s="48"/>
      <c r="E25" s="46">
        <f t="shared" si="0"/>
        <v>47000</v>
      </c>
      <c r="F25" s="40" t="s">
        <v>214</v>
      </c>
      <c r="G25" s="92">
        <v>25000</v>
      </c>
    </row>
    <row r="26" spans="2:7" ht="12.75" thickBot="1">
      <c r="B26" s="43" t="s">
        <v>198</v>
      </c>
      <c r="C26" s="48"/>
      <c r="D26" s="48"/>
      <c r="E26" s="46">
        <f t="shared" si="0"/>
        <v>0</v>
      </c>
      <c r="F26" s="56" t="s">
        <v>215</v>
      </c>
      <c r="G26" s="58">
        <v>52000</v>
      </c>
    </row>
    <row r="27" spans="2:7" ht="12.75" thickBot="1">
      <c r="B27" s="98" t="s">
        <v>42</v>
      </c>
      <c r="C27" s="54">
        <f>SUM(C5:C26)</f>
        <v>6723000</v>
      </c>
      <c r="D27" s="54">
        <f>SUM(D5:D26)</f>
        <v>1905800</v>
      </c>
      <c r="E27" s="54">
        <f>SUM(E5:E26)</f>
        <v>4817200</v>
      </c>
      <c r="F27" s="98" t="s">
        <v>43</v>
      </c>
      <c r="G27" s="54">
        <f>G25+G26</f>
        <v>77000</v>
      </c>
    </row>
    <row r="28" spans="2:7" ht="12">
      <c r="B28" s="39" t="s">
        <v>74</v>
      </c>
      <c r="C28" s="48"/>
      <c r="D28" s="48"/>
      <c r="E28" s="48"/>
      <c r="F28" s="57" t="s">
        <v>76</v>
      </c>
      <c r="G28" s="58"/>
    </row>
    <row r="29" spans="2:7" ht="12">
      <c r="B29" s="59" t="s">
        <v>206</v>
      </c>
      <c r="C29" s="48"/>
      <c r="D29" s="48"/>
      <c r="E29" s="48"/>
      <c r="F29" s="60"/>
      <c r="G29" s="48"/>
    </row>
    <row r="30" spans="2:7" ht="12">
      <c r="B30" s="61" t="s">
        <v>201</v>
      </c>
      <c r="C30" s="48">
        <v>160000</v>
      </c>
      <c r="D30" s="48">
        <v>6000</v>
      </c>
      <c r="E30" s="48">
        <f>C30-D30</f>
        <v>154000</v>
      </c>
      <c r="F30" s="33" t="s">
        <v>216</v>
      </c>
      <c r="G30" s="48"/>
    </row>
    <row r="31" spans="2:7" ht="12">
      <c r="B31" s="61" t="s">
        <v>202</v>
      </c>
      <c r="C31" s="48"/>
      <c r="D31" s="48"/>
      <c r="E31" s="48">
        <f aca="true" t="shared" si="1" ref="E31:E44">C31-D31</f>
        <v>0</v>
      </c>
      <c r="F31" s="33" t="s">
        <v>217</v>
      </c>
      <c r="G31" s="48"/>
    </row>
    <row r="32" spans="2:7" ht="12">
      <c r="B32" s="61" t="s">
        <v>203</v>
      </c>
      <c r="C32" s="48">
        <v>554000</v>
      </c>
      <c r="D32" s="48">
        <v>17000</v>
      </c>
      <c r="E32" s="48">
        <f t="shared" si="1"/>
        <v>537000</v>
      </c>
      <c r="F32" s="43" t="s">
        <v>295</v>
      </c>
      <c r="G32" s="48">
        <v>1080590</v>
      </c>
    </row>
    <row r="33" spans="2:7" ht="12">
      <c r="B33" s="43" t="s">
        <v>75</v>
      </c>
      <c r="C33" s="48"/>
      <c r="D33" s="48"/>
      <c r="E33" s="48">
        <f t="shared" si="1"/>
        <v>0</v>
      </c>
      <c r="F33" s="33" t="s">
        <v>279</v>
      </c>
      <c r="G33" s="48">
        <v>176100</v>
      </c>
    </row>
    <row r="34" spans="2:7" ht="12">
      <c r="B34" s="42" t="s">
        <v>204</v>
      </c>
      <c r="C34" s="48">
        <v>270000</v>
      </c>
      <c r="D34" s="48"/>
      <c r="E34" s="48">
        <f t="shared" si="1"/>
        <v>270000</v>
      </c>
      <c r="F34" s="42" t="s">
        <v>78</v>
      </c>
      <c r="G34" s="48">
        <v>30000</v>
      </c>
    </row>
    <row r="35" spans="2:7" ht="12">
      <c r="B35" s="42" t="s">
        <v>205</v>
      </c>
      <c r="C35" s="48"/>
      <c r="D35" s="48"/>
      <c r="E35" s="48"/>
      <c r="F35" s="42" t="s">
        <v>219</v>
      </c>
      <c r="G35" s="48"/>
    </row>
    <row r="36" spans="2:7" ht="12">
      <c r="B36" s="43" t="s">
        <v>77</v>
      </c>
      <c r="C36" s="48">
        <v>998900</v>
      </c>
      <c r="D36" s="48">
        <v>75600</v>
      </c>
      <c r="E36" s="48">
        <f t="shared" si="1"/>
        <v>923300</v>
      </c>
      <c r="F36" s="43" t="s">
        <v>80</v>
      </c>
      <c r="G36" s="48">
        <v>931900</v>
      </c>
    </row>
    <row r="37" spans="2:7" ht="12">
      <c r="B37" s="43" t="s">
        <v>79</v>
      </c>
      <c r="C37" s="48">
        <v>170600</v>
      </c>
      <c r="D37" s="48"/>
      <c r="E37" s="48">
        <f t="shared" si="1"/>
        <v>170600</v>
      </c>
      <c r="F37" s="63" t="s">
        <v>82</v>
      </c>
      <c r="G37" s="48">
        <v>190540</v>
      </c>
    </row>
    <row r="38" spans="2:7" ht="12">
      <c r="B38" s="43" t="s">
        <v>207</v>
      </c>
      <c r="C38" s="48"/>
      <c r="D38" s="48"/>
      <c r="E38" s="48">
        <f t="shared" si="1"/>
        <v>0</v>
      </c>
      <c r="F38" s="63" t="s">
        <v>220</v>
      </c>
      <c r="G38" s="48">
        <v>45000</v>
      </c>
    </row>
    <row r="39" spans="2:7" ht="12">
      <c r="B39" s="43" t="s">
        <v>81</v>
      </c>
      <c r="C39" s="48">
        <v>30000</v>
      </c>
      <c r="D39" s="48">
        <v>1000</v>
      </c>
      <c r="E39" s="48">
        <f t="shared" si="1"/>
        <v>29000</v>
      </c>
      <c r="F39" s="64" t="s">
        <v>221</v>
      </c>
      <c r="G39" s="48"/>
    </row>
    <row r="40" spans="2:7" ht="12">
      <c r="B40" s="43" t="s">
        <v>83</v>
      </c>
      <c r="C40" s="48">
        <v>235200</v>
      </c>
      <c r="D40" s="48"/>
      <c r="E40" s="48">
        <f t="shared" si="1"/>
        <v>235200</v>
      </c>
      <c r="F40" s="63" t="s">
        <v>84</v>
      </c>
      <c r="G40" s="48">
        <v>273480</v>
      </c>
    </row>
    <row r="41" spans="2:7" ht="12">
      <c r="B41" s="43" t="s">
        <v>225</v>
      </c>
      <c r="C41" s="48">
        <v>49300</v>
      </c>
      <c r="D41" s="48"/>
      <c r="E41" s="48">
        <f t="shared" si="1"/>
        <v>49300</v>
      </c>
      <c r="F41" s="63" t="s">
        <v>222</v>
      </c>
      <c r="G41" s="48">
        <v>136510</v>
      </c>
    </row>
    <row r="42" spans="2:7" ht="12">
      <c r="B42" s="43" t="s">
        <v>208</v>
      </c>
      <c r="C42" s="48">
        <v>40000</v>
      </c>
      <c r="D42" s="48"/>
      <c r="E42" s="48">
        <f t="shared" si="1"/>
        <v>40000</v>
      </c>
      <c r="F42" s="47" t="s">
        <v>223</v>
      </c>
      <c r="G42" s="48">
        <v>24000</v>
      </c>
    </row>
    <row r="43" spans="2:7" ht="12">
      <c r="B43" s="43" t="s">
        <v>209</v>
      </c>
      <c r="C43" s="48"/>
      <c r="D43" s="48"/>
      <c r="E43" s="48">
        <f t="shared" si="1"/>
        <v>0</v>
      </c>
      <c r="F43" s="63" t="s">
        <v>224</v>
      </c>
      <c r="G43" s="48">
        <v>31000</v>
      </c>
    </row>
    <row r="44" spans="2:7" ht="12.75" thickBot="1">
      <c r="B44" s="56" t="s">
        <v>210</v>
      </c>
      <c r="C44" s="48">
        <v>1000</v>
      </c>
      <c r="D44" s="48"/>
      <c r="E44" s="48">
        <f t="shared" si="1"/>
        <v>1000</v>
      </c>
      <c r="F44" s="65" t="s">
        <v>226</v>
      </c>
      <c r="G44" s="66">
        <v>2000</v>
      </c>
    </row>
    <row r="45" spans="2:7" ht="12.75" thickBot="1">
      <c r="B45" s="98" t="s">
        <v>43</v>
      </c>
      <c r="C45" s="54">
        <f>SUM(C30:C44)</f>
        <v>2509000</v>
      </c>
      <c r="D45" s="54">
        <f>SUM(D30:D44)</f>
        <v>99600</v>
      </c>
      <c r="E45" s="54">
        <f>SUM(E30:E44)</f>
        <v>2409400</v>
      </c>
      <c r="F45" s="98" t="s">
        <v>44</v>
      </c>
      <c r="G45" s="54">
        <f>SUM(G32:G44)</f>
        <v>2921120</v>
      </c>
    </row>
    <row r="46" spans="2:7" ht="12.75" thickBot="1">
      <c r="B46" s="99" t="s">
        <v>85</v>
      </c>
      <c r="C46" s="68">
        <f>C27+C45</f>
        <v>9232000</v>
      </c>
      <c r="D46" s="68">
        <f>D27+D45</f>
        <v>2005400</v>
      </c>
      <c r="E46" s="68">
        <f>E27+E45</f>
        <v>7226600</v>
      </c>
      <c r="F46" s="99" t="s">
        <v>85</v>
      </c>
      <c r="G46" s="68">
        <f>G24+G27+G45</f>
        <v>7226600</v>
      </c>
    </row>
    <row r="47" spans="2:7" ht="12.75" customHeight="1">
      <c r="B47" s="69" t="s">
        <v>303</v>
      </c>
      <c r="C47" s="96">
        <v>4000</v>
      </c>
      <c r="D47" s="71"/>
      <c r="E47" s="71"/>
      <c r="F47" s="72" t="s">
        <v>297</v>
      </c>
      <c r="G47" s="73">
        <v>138000</v>
      </c>
    </row>
    <row r="48" spans="2:7" ht="12">
      <c r="B48" s="63" t="s">
        <v>304</v>
      </c>
      <c r="C48" s="95">
        <v>3000</v>
      </c>
      <c r="D48" s="65"/>
      <c r="E48" s="65"/>
      <c r="F48" s="75" t="s">
        <v>302</v>
      </c>
      <c r="G48" s="76"/>
    </row>
    <row r="49" spans="2:7" ht="12.75" thickBot="1">
      <c r="B49" s="94" t="s">
        <v>298</v>
      </c>
      <c r="C49" s="97">
        <v>80000</v>
      </c>
      <c r="D49" s="91"/>
      <c r="E49" s="91"/>
      <c r="F49" s="83"/>
      <c r="G49" s="84"/>
    </row>
  </sheetData>
  <sheetProtection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33" customWidth="1"/>
    <col min="2" max="2" width="29.28125" style="33" customWidth="1"/>
    <col min="3" max="4" width="10.7109375" style="33" customWidth="1"/>
    <col min="5" max="5" width="29.28125" style="33" customWidth="1"/>
    <col min="6" max="7" width="10.7109375" style="33" customWidth="1"/>
    <col min="8" max="16384" width="11.421875" style="33" customWidth="1"/>
  </cols>
  <sheetData>
    <row r="1" ht="12.75" thickBot="1"/>
    <row r="2" spans="2:7" ht="13.5" customHeight="1" thickBot="1">
      <c r="B2" s="34" t="s">
        <v>308</v>
      </c>
      <c r="C2" s="125"/>
      <c r="D2" s="125"/>
      <c r="E2" s="125"/>
      <c r="F2" s="125"/>
      <c r="G2" s="126"/>
    </row>
    <row r="3" spans="2:7" ht="24.75" thickBot="1">
      <c r="B3" s="127" t="s">
        <v>30</v>
      </c>
      <c r="C3" s="37" t="s">
        <v>35</v>
      </c>
      <c r="D3" s="129" t="s">
        <v>306</v>
      </c>
      <c r="E3" s="128" t="s">
        <v>31</v>
      </c>
      <c r="F3" s="37" t="s">
        <v>35</v>
      </c>
      <c r="G3" s="129" t="s">
        <v>307</v>
      </c>
    </row>
    <row r="4" spans="2:7" ht="12.75" thickBot="1">
      <c r="B4" s="130" t="s">
        <v>36</v>
      </c>
      <c r="C4" s="117"/>
      <c r="D4" s="117"/>
      <c r="E4" s="131" t="s">
        <v>39</v>
      </c>
      <c r="F4" s="120"/>
      <c r="G4" s="120"/>
    </row>
    <row r="5" spans="2:7" ht="24">
      <c r="B5" s="123" t="s">
        <v>3</v>
      </c>
      <c r="C5" s="118"/>
      <c r="D5" s="119">
        <f>SUM(C6:C7)</f>
        <v>0</v>
      </c>
      <c r="E5" s="124"/>
      <c r="F5" s="121"/>
      <c r="G5" s="121"/>
    </row>
    <row r="6" spans="2:7" ht="12">
      <c r="B6" s="100" t="s">
        <v>158</v>
      </c>
      <c r="C6" s="48">
        <v>0</v>
      </c>
      <c r="D6" s="48"/>
      <c r="E6" s="102" t="s">
        <v>2</v>
      </c>
      <c r="F6" s="46">
        <v>0</v>
      </c>
      <c r="G6" s="46">
        <f>F6</f>
        <v>0</v>
      </c>
    </row>
    <row r="7" spans="2:7" ht="12">
      <c r="B7" s="100" t="s">
        <v>159</v>
      </c>
      <c r="C7" s="48">
        <v>0</v>
      </c>
      <c r="D7" s="48"/>
      <c r="E7" s="101" t="s">
        <v>168</v>
      </c>
      <c r="F7" s="46">
        <v>20087470</v>
      </c>
      <c r="G7" s="46">
        <v>20087470</v>
      </c>
    </row>
    <row r="8" spans="2:7" ht="12" customHeight="1">
      <c r="B8" s="102" t="s">
        <v>246</v>
      </c>
      <c r="C8" s="48"/>
      <c r="D8" s="48">
        <f>SUM(C9:C16)</f>
        <v>12972320</v>
      </c>
      <c r="E8" s="103" t="s">
        <v>239</v>
      </c>
      <c r="F8" s="46">
        <v>0</v>
      </c>
      <c r="G8" s="46"/>
    </row>
    <row r="9" spans="2:7" ht="12">
      <c r="B9" s="100" t="s">
        <v>160</v>
      </c>
      <c r="C9" s="48">
        <v>8258500</v>
      </c>
      <c r="D9" s="48"/>
      <c r="E9" s="103" t="s">
        <v>240</v>
      </c>
      <c r="F9" s="46">
        <v>0</v>
      </c>
      <c r="G9" s="46"/>
    </row>
    <row r="10" spans="2:7" ht="12">
      <c r="B10" s="100" t="s">
        <v>228</v>
      </c>
      <c r="C10" s="48">
        <v>1938300</v>
      </c>
      <c r="D10" s="48"/>
      <c r="E10" s="103" t="s">
        <v>241</v>
      </c>
      <c r="F10" s="46">
        <v>0</v>
      </c>
      <c r="G10" s="46"/>
    </row>
    <row r="11" spans="2:7" ht="24">
      <c r="B11" s="100" t="s">
        <v>247</v>
      </c>
      <c r="C11" s="48">
        <v>12000</v>
      </c>
      <c r="D11" s="48"/>
      <c r="E11" s="104" t="s">
        <v>242</v>
      </c>
      <c r="F11" s="46">
        <f>SUM(F7:F10)</f>
        <v>20087470</v>
      </c>
      <c r="G11" s="46">
        <f>SUM(G6:G10)</f>
        <v>20087470</v>
      </c>
    </row>
    <row r="12" spans="2:7" ht="12">
      <c r="B12" s="100" t="s">
        <v>229</v>
      </c>
      <c r="C12" s="48">
        <v>296900</v>
      </c>
      <c r="D12" s="48"/>
      <c r="E12" s="105"/>
      <c r="F12" s="46"/>
      <c r="G12" s="46"/>
    </row>
    <row r="13" spans="2:7" ht="24">
      <c r="B13" s="100" t="s">
        <v>230</v>
      </c>
      <c r="C13" s="48">
        <v>0</v>
      </c>
      <c r="D13" s="48"/>
      <c r="E13" s="101" t="s">
        <v>5</v>
      </c>
      <c r="F13" s="46"/>
      <c r="G13" s="46">
        <f>F14+F15</f>
        <v>85000</v>
      </c>
    </row>
    <row r="14" spans="2:7" ht="12">
      <c r="B14" s="100" t="s">
        <v>231</v>
      </c>
      <c r="C14" s="48">
        <v>0</v>
      </c>
      <c r="D14" s="48"/>
      <c r="E14" s="105" t="s">
        <v>202</v>
      </c>
      <c r="F14" s="46">
        <v>85000</v>
      </c>
      <c r="G14" s="46"/>
    </row>
    <row r="15" spans="2:7" ht="12">
      <c r="B15" s="100" t="s">
        <v>232</v>
      </c>
      <c r="C15" s="48">
        <v>0</v>
      </c>
      <c r="D15" s="48"/>
      <c r="E15" s="105" t="s">
        <v>31</v>
      </c>
      <c r="F15" s="46">
        <v>0</v>
      </c>
      <c r="G15" s="46"/>
    </row>
    <row r="16" spans="2:7" ht="12">
      <c r="B16" s="100" t="s">
        <v>233</v>
      </c>
      <c r="C16" s="48">
        <v>2466620</v>
      </c>
      <c r="D16" s="48"/>
      <c r="E16" s="105"/>
      <c r="F16" s="46"/>
      <c r="G16" s="46"/>
    </row>
    <row r="17" spans="2:7" ht="12">
      <c r="B17" s="102" t="s">
        <v>161</v>
      </c>
      <c r="C17" s="48">
        <v>200100</v>
      </c>
      <c r="D17" s="48">
        <v>200100</v>
      </c>
      <c r="E17" s="103" t="s">
        <v>29</v>
      </c>
      <c r="F17" s="46">
        <v>0</v>
      </c>
      <c r="G17" s="46"/>
    </row>
    <row r="18" spans="2:7" ht="12">
      <c r="B18" s="102" t="s">
        <v>20</v>
      </c>
      <c r="C18" s="48"/>
      <c r="D18" s="48">
        <f>SUM(C19:C20)</f>
        <v>5598070</v>
      </c>
      <c r="E18" s="103"/>
      <c r="F18" s="46"/>
      <c r="G18" s="46"/>
    </row>
    <row r="19" spans="2:7" ht="12">
      <c r="B19" s="100" t="s">
        <v>162</v>
      </c>
      <c r="C19" s="48">
        <v>3950170</v>
      </c>
      <c r="D19" s="48"/>
      <c r="E19" s="103" t="s">
        <v>47</v>
      </c>
      <c r="F19" s="58">
        <v>0</v>
      </c>
      <c r="G19" s="58"/>
    </row>
    <row r="20" spans="2:7" ht="12">
      <c r="B20" s="100" t="s">
        <v>163</v>
      </c>
      <c r="C20" s="48">
        <v>1647900</v>
      </c>
      <c r="D20" s="48"/>
      <c r="E20" s="105"/>
      <c r="F20" s="46"/>
      <c r="G20" s="46"/>
    </row>
    <row r="21" spans="2:7" ht="24">
      <c r="B21" s="102" t="s">
        <v>249</v>
      </c>
      <c r="C21" s="48"/>
      <c r="D21" s="48">
        <f>SUM(C22:C25)</f>
        <v>841700</v>
      </c>
      <c r="E21" s="103" t="s">
        <v>243</v>
      </c>
      <c r="F21" s="46">
        <v>94300</v>
      </c>
      <c r="G21" s="46">
        <v>94300</v>
      </c>
    </row>
    <row r="22" spans="2:7" ht="12">
      <c r="B22" s="100" t="s">
        <v>164</v>
      </c>
      <c r="C22" s="48">
        <v>682800</v>
      </c>
      <c r="D22" s="48"/>
      <c r="E22" s="105"/>
      <c r="F22" s="46"/>
      <c r="G22" s="46"/>
    </row>
    <row r="23" spans="2:7" ht="24">
      <c r="B23" s="100" t="s">
        <v>165</v>
      </c>
      <c r="C23" s="48">
        <v>0</v>
      </c>
      <c r="D23" s="48"/>
      <c r="E23" s="106" t="s">
        <v>244</v>
      </c>
      <c r="F23" s="46">
        <v>0</v>
      </c>
      <c r="G23" s="46"/>
    </row>
    <row r="24" spans="2:7" ht="24">
      <c r="B24" s="100" t="s">
        <v>166</v>
      </c>
      <c r="C24" s="48">
        <v>99900</v>
      </c>
      <c r="D24" s="48"/>
      <c r="E24" s="106"/>
      <c r="F24" s="46"/>
      <c r="G24" s="46"/>
    </row>
    <row r="25" spans="2:7" ht="12">
      <c r="B25" s="100" t="s">
        <v>167</v>
      </c>
      <c r="C25" s="48">
        <v>59000</v>
      </c>
      <c r="D25" s="48"/>
      <c r="E25" s="106"/>
      <c r="F25" s="46"/>
      <c r="G25" s="46"/>
    </row>
    <row r="26" spans="2:7" ht="12.75" thickBot="1">
      <c r="B26" s="100" t="s">
        <v>234</v>
      </c>
      <c r="C26" s="66">
        <v>74200</v>
      </c>
      <c r="D26" s="66">
        <v>74200</v>
      </c>
      <c r="E26" s="103" t="s">
        <v>245</v>
      </c>
      <c r="F26" s="122">
        <v>5800</v>
      </c>
      <c r="G26" s="122">
        <v>5800</v>
      </c>
    </row>
    <row r="27" spans="2:7" ht="12.75" thickBot="1">
      <c r="B27" s="107" t="s">
        <v>42</v>
      </c>
      <c r="C27" s="54">
        <f>SUM(C6:C26)</f>
        <v>19686390</v>
      </c>
      <c r="D27" s="54">
        <f>SUM(D6:D26)</f>
        <v>19686390</v>
      </c>
      <c r="E27" s="108" t="s">
        <v>42</v>
      </c>
      <c r="F27" s="109">
        <f>SUM(F11:F26)</f>
        <v>20272570</v>
      </c>
      <c r="G27" s="109">
        <f>SUM(G11:G26)</f>
        <v>20272570</v>
      </c>
    </row>
    <row r="28" spans="2:7" ht="12.75" thickBot="1">
      <c r="B28" s="132" t="s">
        <v>37</v>
      </c>
      <c r="C28" s="134"/>
      <c r="D28" s="134"/>
      <c r="E28" s="133" t="s">
        <v>40</v>
      </c>
      <c r="F28" s="93"/>
      <c r="G28" s="93"/>
    </row>
    <row r="29" spans="2:7" ht="12.75" customHeight="1">
      <c r="B29" s="100" t="s">
        <v>169</v>
      </c>
      <c r="C29" s="46">
        <v>0</v>
      </c>
      <c r="D29" s="46"/>
      <c r="E29" s="103" t="s">
        <v>177</v>
      </c>
      <c r="F29" s="46">
        <v>0</v>
      </c>
      <c r="G29" s="46"/>
    </row>
    <row r="30" spans="2:7" ht="12">
      <c r="B30" s="100" t="s">
        <v>170</v>
      </c>
      <c r="C30" s="46">
        <v>124500</v>
      </c>
      <c r="D30" s="46"/>
      <c r="E30" s="106" t="s">
        <v>178</v>
      </c>
      <c r="F30" s="46">
        <v>18500</v>
      </c>
      <c r="G30" s="46"/>
    </row>
    <row r="31" spans="2:7" ht="12">
      <c r="B31" s="110" t="s">
        <v>235</v>
      </c>
      <c r="C31" s="46">
        <v>0</v>
      </c>
      <c r="D31" s="46"/>
      <c r="E31" s="105" t="s">
        <v>236</v>
      </c>
      <c r="F31" s="46">
        <v>0</v>
      </c>
      <c r="G31" s="46"/>
    </row>
    <row r="32" spans="2:7" ht="12">
      <c r="B32" s="110"/>
      <c r="C32" s="46"/>
      <c r="D32" s="46"/>
      <c r="E32" s="103" t="s">
        <v>179</v>
      </c>
      <c r="F32" s="46">
        <v>0</v>
      </c>
      <c r="G32" s="46"/>
    </row>
    <row r="33" spans="2:7" ht="24">
      <c r="B33" s="110"/>
      <c r="C33" s="58"/>
      <c r="D33" s="58"/>
      <c r="E33" s="103" t="s">
        <v>248</v>
      </c>
      <c r="F33" s="46">
        <v>10000</v>
      </c>
      <c r="G33" s="46"/>
    </row>
    <row r="34" spans="2:7" ht="12">
      <c r="B34" s="100" t="s">
        <v>171</v>
      </c>
      <c r="C34" s="46">
        <v>0</v>
      </c>
      <c r="D34" s="46"/>
      <c r="E34" s="103" t="s">
        <v>180</v>
      </c>
      <c r="F34" s="46">
        <v>0</v>
      </c>
      <c r="G34" s="46"/>
    </row>
    <row r="35" spans="2:7" ht="12.75" thickBot="1">
      <c r="B35" s="100" t="s">
        <v>172</v>
      </c>
      <c r="C35" s="122">
        <v>3800</v>
      </c>
      <c r="D35" s="122"/>
      <c r="E35" s="103" t="s">
        <v>181</v>
      </c>
      <c r="F35" s="122">
        <v>0</v>
      </c>
      <c r="G35" s="122"/>
    </row>
    <row r="36" spans="2:7" ht="12.75" thickBot="1">
      <c r="B36" s="107" t="s">
        <v>43</v>
      </c>
      <c r="C36" s="109">
        <f>SUM(C29:C35)</f>
        <v>128300</v>
      </c>
      <c r="D36" s="109">
        <f>C36</f>
        <v>128300</v>
      </c>
      <c r="E36" s="108" t="s">
        <v>43</v>
      </c>
      <c r="F36" s="109">
        <f>SUM(F29:F35)</f>
        <v>28500</v>
      </c>
      <c r="G36" s="109">
        <f>F36</f>
        <v>28500</v>
      </c>
    </row>
    <row r="37" spans="2:7" ht="12.75" thickBot="1">
      <c r="B37" s="132" t="s">
        <v>38</v>
      </c>
      <c r="C37" s="134"/>
      <c r="D37" s="134"/>
      <c r="E37" s="133" t="s">
        <v>41</v>
      </c>
      <c r="F37" s="93"/>
      <c r="G37" s="93"/>
    </row>
    <row r="38" spans="2:7" ht="12">
      <c r="B38" s="135" t="s">
        <v>173</v>
      </c>
      <c r="C38" s="46">
        <v>12500</v>
      </c>
      <c r="D38" s="46"/>
      <c r="E38" s="135" t="s">
        <v>182</v>
      </c>
      <c r="F38" s="46">
        <v>0</v>
      </c>
      <c r="G38" s="46"/>
    </row>
    <row r="39" spans="2:7" ht="12">
      <c r="B39" s="100" t="s">
        <v>174</v>
      </c>
      <c r="C39" s="46">
        <v>0</v>
      </c>
      <c r="D39" s="46"/>
      <c r="E39" s="100" t="s">
        <v>183</v>
      </c>
      <c r="F39" s="46">
        <v>0</v>
      </c>
      <c r="G39" s="46"/>
    </row>
    <row r="40" spans="2:7" ht="24">
      <c r="B40" s="111" t="s">
        <v>237</v>
      </c>
      <c r="C40" s="46">
        <v>130000</v>
      </c>
      <c r="D40" s="46"/>
      <c r="E40" s="112" t="s">
        <v>281</v>
      </c>
      <c r="F40" s="46">
        <v>105000</v>
      </c>
      <c r="G40" s="46"/>
    </row>
    <row r="41" spans="2:7" ht="24">
      <c r="B41" s="100" t="s">
        <v>175</v>
      </c>
      <c r="C41" s="46">
        <v>48000</v>
      </c>
      <c r="D41" s="46"/>
      <c r="E41" s="103" t="s">
        <v>238</v>
      </c>
      <c r="F41" s="46">
        <v>20000</v>
      </c>
      <c r="G41" s="46"/>
    </row>
    <row r="42" spans="2:7" ht="24.75" thickBot="1">
      <c r="B42" s="100"/>
      <c r="C42" s="122"/>
      <c r="D42" s="122"/>
      <c r="E42" s="103" t="s">
        <v>184</v>
      </c>
      <c r="F42" s="122">
        <v>0</v>
      </c>
      <c r="G42" s="122"/>
    </row>
    <row r="43" spans="2:7" ht="12.75" thickBot="1">
      <c r="B43" s="107" t="s">
        <v>44</v>
      </c>
      <c r="C43" s="109">
        <f>SUM(C38:C42)</f>
        <v>190500</v>
      </c>
      <c r="D43" s="109">
        <f>C43</f>
        <v>190500</v>
      </c>
      <c r="E43" s="108" t="s">
        <v>44</v>
      </c>
      <c r="F43" s="109">
        <f>SUM(F38:F42)</f>
        <v>125000</v>
      </c>
      <c r="G43" s="109">
        <f>F43</f>
        <v>125000</v>
      </c>
    </row>
    <row r="44" spans="2:7" ht="12">
      <c r="B44" s="135" t="s">
        <v>176</v>
      </c>
      <c r="D44" s="120"/>
      <c r="E44" s="105"/>
      <c r="F44" s="90"/>
      <c r="G44" s="90"/>
    </row>
    <row r="45" spans="2:7" ht="12.75" thickBot="1">
      <c r="B45" s="136" t="s">
        <v>25</v>
      </c>
      <c r="C45" s="138">
        <v>212900</v>
      </c>
      <c r="D45" s="122">
        <v>212900</v>
      </c>
      <c r="E45" s="103"/>
      <c r="F45" s="116"/>
      <c r="G45" s="116"/>
    </row>
    <row r="46" spans="2:7" ht="13.5" thickBot="1" thickTop="1">
      <c r="B46" s="139" t="s">
        <v>45</v>
      </c>
      <c r="C46" s="113">
        <f>C27+C36+C43+C45</f>
        <v>20218090</v>
      </c>
      <c r="D46" s="113">
        <f>D27+D36+D43+D45</f>
        <v>20218090</v>
      </c>
      <c r="E46" s="140" t="s">
        <v>46</v>
      </c>
      <c r="F46" s="113">
        <f>F27+F36+F43</f>
        <v>20426070</v>
      </c>
      <c r="G46" s="113">
        <f>G27+G36+G43</f>
        <v>20426070</v>
      </c>
    </row>
    <row r="47" spans="2:7" ht="25.5" thickBot="1" thickTop="1">
      <c r="B47" s="114" t="s">
        <v>185</v>
      </c>
      <c r="C47" s="137">
        <f>IF(G46&gt;D46,G46-D46,0)</f>
        <v>207980</v>
      </c>
      <c r="D47" s="137">
        <f>C47</f>
        <v>207980</v>
      </c>
      <c r="E47" s="115" t="s">
        <v>186</v>
      </c>
      <c r="F47" s="109"/>
      <c r="G47" s="109"/>
    </row>
    <row r="48" spans="2:7" ht="13.5" thickBot="1" thickTop="1">
      <c r="B48" s="141" t="s">
        <v>32</v>
      </c>
      <c r="C48" s="90">
        <f>C46+C47</f>
        <v>20426070</v>
      </c>
      <c r="D48" s="90">
        <f>D46+D47</f>
        <v>20426070</v>
      </c>
      <c r="E48" s="142" t="s">
        <v>32</v>
      </c>
      <c r="F48" s="90">
        <f>F46+F47</f>
        <v>20426070</v>
      </c>
      <c r="G48" s="90">
        <f>G46+G47</f>
        <v>20426070</v>
      </c>
    </row>
    <row r="49" spans="2:7" ht="12">
      <c r="B49" s="143" t="s">
        <v>282</v>
      </c>
      <c r="C49" s="96">
        <v>63000</v>
      </c>
      <c r="D49" s="96"/>
      <c r="E49" s="71"/>
      <c r="F49" s="71"/>
      <c r="G49" s="144"/>
    </row>
    <row r="50" spans="2:7" ht="12.75" thickBot="1">
      <c r="B50" s="94" t="s">
        <v>283</v>
      </c>
      <c r="C50" s="145">
        <v>42000</v>
      </c>
      <c r="D50" s="145"/>
      <c r="E50" s="91"/>
      <c r="F50" s="91"/>
      <c r="G50" s="146"/>
    </row>
    <row r="51" s="147" customFormat="1" ht="12">
      <c r="D51" s="148"/>
    </row>
    <row r="52" spans="3:4" s="147" customFormat="1" ht="12">
      <c r="C52" s="148"/>
      <c r="D52" s="148"/>
    </row>
    <row r="53" s="147" customFormat="1" ht="12"/>
  </sheetData>
  <sheetProtection/>
  <mergeCells count="1">
    <mergeCell ref="B2:G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9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6" customWidth="1"/>
    <col min="2" max="2" width="36.7109375" style="6" customWidth="1"/>
    <col min="3" max="3" width="13.421875" style="6" customWidth="1"/>
    <col min="4" max="5" width="14.8515625" style="6" customWidth="1"/>
    <col min="6" max="6" width="13.28125" style="6" customWidth="1"/>
    <col min="7" max="16384" width="11.421875" style="6" customWidth="1"/>
  </cols>
  <sheetData>
    <row r="1" ht="15.75" thickBot="1"/>
    <row r="2" spans="2:6" ht="15.75" thickBot="1">
      <c r="B2" s="11" t="s">
        <v>311</v>
      </c>
      <c r="C2" s="152"/>
      <c r="D2" s="152"/>
      <c r="E2" s="152"/>
      <c r="F2" s="153"/>
    </row>
    <row r="3" spans="2:6" s="154" customFormat="1" ht="15.75" thickBot="1">
      <c r="B3" s="155"/>
      <c r="C3" s="155"/>
      <c r="D3" s="155"/>
      <c r="E3" s="155"/>
      <c r="F3" s="155"/>
    </row>
    <row r="4" spans="2:6" ht="29.25" thickBot="1">
      <c r="B4" s="161" t="s">
        <v>251</v>
      </c>
      <c r="C4" s="162" t="s">
        <v>252</v>
      </c>
      <c r="D4" s="163" t="s">
        <v>274</v>
      </c>
      <c r="E4" s="162" t="s">
        <v>275</v>
      </c>
      <c r="F4" s="177" t="s">
        <v>254</v>
      </c>
    </row>
    <row r="5" spans="2:6" ht="15">
      <c r="B5" s="172" t="s">
        <v>269</v>
      </c>
      <c r="C5" s="166"/>
      <c r="D5" s="166"/>
      <c r="E5" s="170"/>
      <c r="F5" s="166"/>
    </row>
    <row r="6" spans="2:6" ht="15">
      <c r="B6" s="8" t="s">
        <v>187</v>
      </c>
      <c r="C6" s="13">
        <v>108000</v>
      </c>
      <c r="D6" s="16">
        <v>48000</v>
      </c>
      <c r="E6" s="175"/>
      <c r="F6" s="13">
        <f>C6+D6-E6</f>
        <v>156000</v>
      </c>
    </row>
    <row r="7" spans="2:6" ht="15">
      <c r="B7" s="8" t="s">
        <v>272</v>
      </c>
      <c r="C7" s="13">
        <v>240000</v>
      </c>
      <c r="D7" s="16"/>
      <c r="E7" s="175"/>
      <c r="F7" s="13">
        <f aca="true" t="shared" si="0" ref="F7:F18">C7+D7-E7</f>
        <v>240000</v>
      </c>
    </row>
    <row r="8" spans="2:6" ht="15">
      <c r="B8" s="8" t="s">
        <v>189</v>
      </c>
      <c r="C8" s="13">
        <v>250000</v>
      </c>
      <c r="D8" s="16">
        <v>350000</v>
      </c>
      <c r="E8" s="175"/>
      <c r="F8" s="13">
        <f t="shared" si="0"/>
        <v>600000</v>
      </c>
    </row>
    <row r="9" spans="2:6" ht="15">
      <c r="B9" s="173" t="s">
        <v>271</v>
      </c>
      <c r="C9" s="13"/>
      <c r="D9" s="16"/>
      <c r="E9" s="175"/>
      <c r="F9" s="13"/>
    </row>
    <row r="10" spans="2:6" ht="15">
      <c r="B10" s="8" t="s">
        <v>65</v>
      </c>
      <c r="C10" s="13"/>
      <c r="D10" s="16">
        <v>154000</v>
      </c>
      <c r="E10" s="175"/>
      <c r="F10" s="13">
        <f t="shared" si="0"/>
        <v>154000</v>
      </c>
    </row>
    <row r="11" spans="2:6" ht="15">
      <c r="B11" s="8" t="s">
        <v>67</v>
      </c>
      <c r="C11" s="13">
        <v>940000</v>
      </c>
      <c r="D11" s="16">
        <v>490000</v>
      </c>
      <c r="E11" s="175"/>
      <c r="F11" s="13">
        <f t="shared" si="0"/>
        <v>1430000</v>
      </c>
    </row>
    <row r="12" spans="2:6" ht="15">
      <c r="B12" s="8" t="s">
        <v>255</v>
      </c>
      <c r="C12" s="13">
        <v>2860000</v>
      </c>
      <c r="D12" s="16">
        <v>682000</v>
      </c>
      <c r="E12" s="175">
        <v>190000</v>
      </c>
      <c r="F12" s="13">
        <f t="shared" si="0"/>
        <v>3352000</v>
      </c>
    </row>
    <row r="13" spans="2:6" ht="15">
      <c r="B13" s="8" t="s">
        <v>256</v>
      </c>
      <c r="C13" s="13">
        <v>415000</v>
      </c>
      <c r="D13" s="16">
        <v>165000</v>
      </c>
      <c r="E13" s="175">
        <v>38000</v>
      </c>
      <c r="F13" s="13">
        <f t="shared" si="0"/>
        <v>542000</v>
      </c>
    </row>
    <row r="14" spans="2:6" ht="15">
      <c r="B14" s="8" t="s">
        <v>273</v>
      </c>
      <c r="C14" s="13">
        <v>150000</v>
      </c>
      <c r="D14" s="16">
        <v>60000</v>
      </c>
      <c r="E14" s="175">
        <v>150000</v>
      </c>
      <c r="F14" s="13">
        <f t="shared" si="0"/>
        <v>60000</v>
      </c>
    </row>
    <row r="15" spans="2:6" ht="15">
      <c r="B15" s="173" t="s">
        <v>270</v>
      </c>
      <c r="C15" s="13"/>
      <c r="D15" s="16"/>
      <c r="E15" s="175"/>
      <c r="F15" s="13"/>
    </row>
    <row r="16" spans="2:6" ht="15">
      <c r="B16" s="8" t="s">
        <v>257</v>
      </c>
      <c r="C16" s="13">
        <v>182000</v>
      </c>
      <c r="D16" s="16"/>
      <c r="E16" s="175">
        <v>40000</v>
      </c>
      <c r="F16" s="13">
        <f t="shared" si="0"/>
        <v>142000</v>
      </c>
    </row>
    <row r="17" spans="2:6" ht="15.75" thickBot="1">
      <c r="B17" s="168" t="s">
        <v>73</v>
      </c>
      <c r="C17" s="165">
        <v>90000</v>
      </c>
      <c r="D17" s="2">
        <v>32000</v>
      </c>
      <c r="E17" s="176">
        <v>75000</v>
      </c>
      <c r="F17" s="165">
        <f t="shared" si="0"/>
        <v>47000</v>
      </c>
    </row>
    <row r="18" spans="2:6" ht="15.75" thickBot="1">
      <c r="B18" s="169" t="s">
        <v>258</v>
      </c>
      <c r="C18" s="171">
        <f>SUM(C6:C17)</f>
        <v>5235000</v>
      </c>
      <c r="D18" s="171">
        <f>SUM(D6:D17)</f>
        <v>1981000</v>
      </c>
      <c r="E18" s="171">
        <f>SUM(E6:E17)</f>
        <v>493000</v>
      </c>
      <c r="F18" s="178">
        <f t="shared" si="0"/>
        <v>6723000</v>
      </c>
    </row>
    <row r="19" spans="2:6" ht="15.75" thickBot="1">
      <c r="B19" s="158"/>
      <c r="C19" s="159"/>
      <c r="D19" s="159"/>
      <c r="E19" s="159"/>
      <c r="F19" s="159"/>
    </row>
    <row r="20" spans="2:6" ht="29.25" thickBot="1">
      <c r="B20" s="161" t="s">
        <v>259</v>
      </c>
      <c r="C20" s="162" t="s">
        <v>252</v>
      </c>
      <c r="D20" s="163" t="s">
        <v>260</v>
      </c>
      <c r="E20" s="162" t="s">
        <v>253</v>
      </c>
      <c r="F20" s="164" t="s">
        <v>254</v>
      </c>
    </row>
    <row r="21" spans="2:6" ht="15">
      <c r="B21" s="172" t="s">
        <v>269</v>
      </c>
      <c r="C21" s="166"/>
      <c r="D21" s="166"/>
      <c r="E21" s="170"/>
      <c r="F21" s="166"/>
    </row>
    <row r="22" spans="2:6" ht="15">
      <c r="B22" s="8" t="s">
        <v>187</v>
      </c>
      <c r="C22" s="13">
        <v>72000</v>
      </c>
      <c r="D22" s="16">
        <v>52000</v>
      </c>
      <c r="E22" s="175"/>
      <c r="F22" s="13">
        <f>C22+D22-E22</f>
        <v>124000</v>
      </c>
    </row>
    <row r="23" spans="2:6" ht="15">
      <c r="B23" s="8" t="s">
        <v>272</v>
      </c>
      <c r="C23" s="13">
        <v>80000</v>
      </c>
      <c r="D23" s="16">
        <v>24000</v>
      </c>
      <c r="E23" s="175"/>
      <c r="F23" s="13">
        <f aca="true" t="shared" si="1" ref="F23:F28">C23+D23-E23</f>
        <v>104000</v>
      </c>
    </row>
    <row r="24" spans="2:6" ht="15">
      <c r="B24" s="173" t="s">
        <v>271</v>
      </c>
      <c r="C24" s="13"/>
      <c r="D24" s="16"/>
      <c r="E24" s="175"/>
      <c r="F24" s="13"/>
    </row>
    <row r="25" spans="2:6" ht="15">
      <c r="B25" s="8" t="s">
        <v>67</v>
      </c>
      <c r="C25" s="13">
        <v>305000</v>
      </c>
      <c r="D25" s="16">
        <v>80000</v>
      </c>
      <c r="E25" s="175"/>
      <c r="F25" s="13">
        <f t="shared" si="1"/>
        <v>385000</v>
      </c>
    </row>
    <row r="26" spans="2:6" ht="15">
      <c r="B26" s="8" t="s">
        <v>255</v>
      </c>
      <c r="C26" s="13">
        <v>840000</v>
      </c>
      <c r="D26" s="16">
        <v>390500</v>
      </c>
      <c r="E26" s="175">
        <v>125000</v>
      </c>
      <c r="F26" s="13">
        <f t="shared" si="1"/>
        <v>1105500</v>
      </c>
    </row>
    <row r="27" spans="2:6" ht="15.75" thickBot="1">
      <c r="B27" s="168" t="s">
        <v>256</v>
      </c>
      <c r="C27" s="165">
        <v>110000</v>
      </c>
      <c r="D27" s="2">
        <v>86300</v>
      </c>
      <c r="E27" s="176">
        <v>13000</v>
      </c>
      <c r="F27" s="165">
        <f t="shared" si="1"/>
        <v>183300</v>
      </c>
    </row>
    <row r="28" spans="2:6" ht="15.75" thickBot="1">
      <c r="B28" s="169" t="s">
        <v>258</v>
      </c>
      <c r="C28" s="156">
        <f>SUM(C22:C27)</f>
        <v>1407000</v>
      </c>
      <c r="D28" s="156">
        <f>SUM(D22:D27)</f>
        <v>632800</v>
      </c>
      <c r="E28" s="156">
        <f>SUM(E22:E27)</f>
        <v>138000</v>
      </c>
      <c r="F28" s="157">
        <f t="shared" si="1"/>
        <v>1901800</v>
      </c>
    </row>
    <row r="29" ht="15.75" thickBot="1"/>
    <row r="30" spans="2:6" ht="29.25" thickBot="1">
      <c r="B30" s="161" t="s">
        <v>261</v>
      </c>
      <c r="C30" s="162" t="s">
        <v>252</v>
      </c>
      <c r="D30" s="163" t="s">
        <v>260</v>
      </c>
      <c r="E30" s="162" t="s">
        <v>262</v>
      </c>
      <c r="F30" s="164" t="s">
        <v>254</v>
      </c>
    </row>
    <row r="31" spans="2:6" ht="15">
      <c r="B31" s="170" t="s">
        <v>277</v>
      </c>
      <c r="C31" s="179">
        <v>12000</v>
      </c>
      <c r="D31" s="179"/>
      <c r="E31" s="180">
        <v>8000</v>
      </c>
      <c r="F31" s="179">
        <f>C31+D31-E31</f>
        <v>4000</v>
      </c>
    </row>
    <row r="32" spans="2:6" ht="15">
      <c r="B32" s="7" t="s">
        <v>278</v>
      </c>
      <c r="C32" s="14">
        <v>10000</v>
      </c>
      <c r="D32" s="16"/>
      <c r="E32" s="175">
        <v>4000</v>
      </c>
      <c r="F32" s="16">
        <f>C32+D32-E32</f>
        <v>6000</v>
      </c>
    </row>
    <row r="33" spans="2:6" ht="15">
      <c r="B33" s="7" t="s">
        <v>263</v>
      </c>
      <c r="C33" s="14">
        <v>9000</v>
      </c>
      <c r="D33" s="16">
        <v>8000</v>
      </c>
      <c r="E33" s="19"/>
      <c r="F33" s="16">
        <f>C33+D33-E33</f>
        <v>17000</v>
      </c>
    </row>
    <row r="34" spans="2:6" ht="15">
      <c r="B34" s="7" t="s">
        <v>264</v>
      </c>
      <c r="C34" s="14">
        <v>42000</v>
      </c>
      <c r="D34" s="16">
        <v>91900</v>
      </c>
      <c r="E34" s="175">
        <v>58300</v>
      </c>
      <c r="F34" s="16">
        <f>C34+D34-E34</f>
        <v>75600</v>
      </c>
    </row>
    <row r="35" spans="2:6" ht="15.75" thickBot="1">
      <c r="B35" s="10" t="s">
        <v>81</v>
      </c>
      <c r="C35" s="17">
        <v>3000</v>
      </c>
      <c r="D35" s="2"/>
      <c r="E35" s="176">
        <v>2000</v>
      </c>
      <c r="F35" s="17">
        <f>C35+D35-E35</f>
        <v>1000</v>
      </c>
    </row>
    <row r="36" spans="2:6" ht="15.75" thickBot="1">
      <c r="B36" s="169" t="s">
        <v>258</v>
      </c>
      <c r="C36" s="157">
        <f>SUM(C32:C35)</f>
        <v>64000</v>
      </c>
      <c r="D36" s="157">
        <f>SUM(D32:D35)</f>
        <v>99900</v>
      </c>
      <c r="E36" s="157">
        <f>SUM(E31:E35)</f>
        <v>72300</v>
      </c>
      <c r="F36" s="157">
        <f>SUM(F32:F35)</f>
        <v>99600</v>
      </c>
    </row>
    <row r="37" ht="15.75" thickBot="1"/>
    <row r="38" spans="2:6" ht="29.25" thickBot="1">
      <c r="B38" s="161" t="s">
        <v>265</v>
      </c>
      <c r="C38" s="162" t="s">
        <v>252</v>
      </c>
      <c r="D38" s="163" t="s">
        <v>260</v>
      </c>
      <c r="E38" s="162" t="s">
        <v>262</v>
      </c>
      <c r="F38" s="164" t="s">
        <v>254</v>
      </c>
    </row>
    <row r="39" spans="2:6" ht="15">
      <c r="B39" s="7" t="s">
        <v>266</v>
      </c>
      <c r="C39" s="14">
        <v>32000</v>
      </c>
      <c r="D39" s="16">
        <v>25000</v>
      </c>
      <c r="E39" s="16">
        <v>32000</v>
      </c>
      <c r="F39" s="14">
        <f>C39+D39-E39</f>
        <v>25000</v>
      </c>
    </row>
    <row r="40" spans="2:6" ht="15.75" thickBot="1">
      <c r="B40" s="10" t="s">
        <v>267</v>
      </c>
      <c r="C40" s="17">
        <v>18000</v>
      </c>
      <c r="D40" s="2">
        <v>34000</v>
      </c>
      <c r="E40" s="2"/>
      <c r="F40" s="17">
        <f>C40+D40-E40</f>
        <v>52000</v>
      </c>
    </row>
    <row r="41" spans="2:6" ht="15.75" thickBot="1">
      <c r="B41" s="169" t="s">
        <v>258</v>
      </c>
      <c r="C41" s="85">
        <f>C39+C40</f>
        <v>50000</v>
      </c>
      <c r="D41" s="85">
        <f>D39+D40</f>
        <v>59000</v>
      </c>
      <c r="E41" s="85">
        <f>E39+E40</f>
        <v>32000</v>
      </c>
      <c r="F41" s="3">
        <f>C41+D41-E41</f>
        <v>77000</v>
      </c>
    </row>
    <row r="42" spans="2:6" ht="15.75" thickBot="1">
      <c r="B42" s="160" t="s">
        <v>276</v>
      </c>
      <c r="C42" s="174"/>
      <c r="D42" s="184">
        <v>48000</v>
      </c>
      <c r="E42" s="174"/>
      <c r="F42" s="17">
        <f>C42+D42-E42</f>
        <v>48000</v>
      </c>
    </row>
    <row r="43" ht="15.75" thickBot="1"/>
    <row r="44" spans="2:3" ht="15.75" thickBot="1">
      <c r="B44" s="181" t="s">
        <v>309</v>
      </c>
      <c r="C44" s="182"/>
    </row>
    <row r="45" spans="2:3" ht="15">
      <c r="B45" s="170" t="s">
        <v>285</v>
      </c>
      <c r="C45" s="179">
        <v>140000</v>
      </c>
    </row>
    <row r="46" spans="2:6" ht="15">
      <c r="B46" s="18" t="s">
        <v>286</v>
      </c>
      <c r="C46" s="16">
        <f>500000/5</f>
        <v>100000</v>
      </c>
      <c r="E46" s="149"/>
      <c r="F46" s="5"/>
    </row>
    <row r="47" spans="2:3" ht="15.75" thickBot="1">
      <c r="B47" s="183" t="s">
        <v>287</v>
      </c>
      <c r="C47" s="2">
        <f>C45-C46</f>
        <v>40000</v>
      </c>
    </row>
    <row r="48" spans="2:5" ht="30" customHeight="1" thickBot="1">
      <c r="B48" s="186" t="s">
        <v>310</v>
      </c>
      <c r="C48" s="187"/>
      <c r="E48" s="150"/>
    </row>
    <row r="49" spans="2:6" ht="15">
      <c r="B49" s="9"/>
      <c r="C49" s="9"/>
      <c r="E49" s="150"/>
      <c r="F49" s="5"/>
    </row>
  </sheetData>
  <sheetProtection/>
  <mergeCells count="3">
    <mergeCell ref="B2:F2"/>
    <mergeCell ref="B44:C44"/>
    <mergeCell ref="B48:C4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6" customWidth="1"/>
    <col min="2" max="2" width="29.7109375" style="6" customWidth="1"/>
    <col min="3" max="3" width="14.7109375" style="6" customWidth="1"/>
    <col min="4" max="4" width="29.7109375" style="6" customWidth="1"/>
    <col min="5" max="5" width="14.7109375" style="6" customWidth="1"/>
    <col min="6" max="6" width="29.7109375" style="6" customWidth="1"/>
    <col min="7" max="7" width="14.7109375" style="6" customWidth="1"/>
    <col min="8" max="16384" width="11.421875" style="6" customWidth="1"/>
  </cols>
  <sheetData>
    <row r="1" ht="15.75" thickBot="1"/>
    <row r="2" spans="2:7" ht="15.75" thickBot="1">
      <c r="B2" s="202" t="s">
        <v>312</v>
      </c>
      <c r="C2" s="203"/>
      <c r="D2" s="203"/>
      <c r="E2" s="203"/>
      <c r="F2" s="203"/>
      <c r="G2" s="204"/>
    </row>
    <row r="3" spans="2:6" ht="15.75" hidden="1" thickBot="1">
      <c r="B3" s="5"/>
      <c r="C3" s="5"/>
      <c r="D3" s="5"/>
      <c r="E3" s="5"/>
      <c r="F3" s="5"/>
    </row>
    <row r="4" spans="2:7" ht="17.25" customHeight="1" thickBot="1">
      <c r="B4" s="205" t="s">
        <v>0</v>
      </c>
      <c r="C4" s="206"/>
      <c r="D4" s="205" t="s">
        <v>1</v>
      </c>
      <c r="E4" s="206"/>
      <c r="F4" s="207" t="s">
        <v>250</v>
      </c>
      <c r="G4" s="208"/>
    </row>
    <row r="5" spans="2:7" ht="15" customHeight="1" thickBot="1">
      <c r="B5" s="209" t="s">
        <v>2</v>
      </c>
      <c r="C5" s="210"/>
      <c r="D5" s="211" t="s">
        <v>3</v>
      </c>
      <c r="E5" s="210"/>
      <c r="F5" s="212" t="s">
        <v>7</v>
      </c>
      <c r="G5" s="171">
        <f>C5-E5</f>
        <v>0</v>
      </c>
    </row>
    <row r="6" spans="2:7" ht="15" customHeight="1">
      <c r="B6" s="18" t="s">
        <v>4</v>
      </c>
      <c r="C6" s="16">
        <f>'Tableau de résultat'!G7</f>
        <v>20087470</v>
      </c>
      <c r="D6" s="234" t="s">
        <v>8</v>
      </c>
      <c r="E6" s="231"/>
      <c r="F6" s="19"/>
      <c r="G6" s="1"/>
    </row>
    <row r="7" spans="2:7" ht="15" customHeight="1">
      <c r="B7" s="18" t="s">
        <v>5</v>
      </c>
      <c r="C7" s="16">
        <f>'Tableau de résultat'!F14</f>
        <v>85000</v>
      </c>
      <c r="D7" s="235"/>
      <c r="E7" s="232"/>
      <c r="F7" s="19"/>
      <c r="G7" s="1"/>
    </row>
    <row r="8" spans="2:7" ht="15" customHeight="1" thickBot="1">
      <c r="B8" s="18" t="s">
        <v>29</v>
      </c>
      <c r="C8" s="16">
        <f>'Tableau de résultat'!F17</f>
        <v>0</v>
      </c>
      <c r="D8" s="235"/>
      <c r="E8" s="233"/>
      <c r="F8" s="19"/>
      <c r="G8" s="1"/>
    </row>
    <row r="9" spans="2:7" ht="15" customHeight="1" thickBot="1">
      <c r="B9" s="213" t="s">
        <v>313</v>
      </c>
      <c r="C9" s="171">
        <f>SUM(C6:C8)</f>
        <v>20172470</v>
      </c>
      <c r="D9" s="214" t="s">
        <v>313</v>
      </c>
      <c r="E9" s="171">
        <f>SUM(E6:E8)</f>
        <v>0</v>
      </c>
      <c r="F9" s="215" t="s">
        <v>6</v>
      </c>
      <c r="G9" s="171">
        <f>C9-E9</f>
        <v>20172470</v>
      </c>
    </row>
    <row r="10" spans="2:7" ht="15" customHeight="1">
      <c r="B10" s="170" t="s">
        <v>6</v>
      </c>
      <c r="C10" s="179">
        <f>G9</f>
        <v>20172470</v>
      </c>
      <c r="D10" s="216" t="s">
        <v>317</v>
      </c>
      <c r="E10" s="217">
        <f>'Tableau de résultat'!D8</f>
        <v>12972320</v>
      </c>
      <c r="F10" s="167"/>
      <c r="G10" s="15"/>
    </row>
    <row r="11" spans="2:7" ht="15" customHeight="1" thickBot="1">
      <c r="B11" s="18" t="s">
        <v>7</v>
      </c>
      <c r="C11" s="16">
        <f>G5</f>
        <v>0</v>
      </c>
      <c r="D11" s="218"/>
      <c r="E11" s="219"/>
      <c r="F11" s="19"/>
      <c r="G11" s="1"/>
    </row>
    <row r="12" spans="2:7" ht="15" customHeight="1" thickBot="1">
      <c r="B12" s="213" t="s">
        <v>313</v>
      </c>
      <c r="C12" s="171">
        <f>SUM(C10:C11)</f>
        <v>20172470</v>
      </c>
      <c r="D12" s="214" t="s">
        <v>313</v>
      </c>
      <c r="E12" s="171">
        <f>SUM(E10:E11)</f>
        <v>12972320</v>
      </c>
      <c r="F12" s="215" t="s">
        <v>9</v>
      </c>
      <c r="G12" s="171">
        <f>C12-E12</f>
        <v>7200150</v>
      </c>
    </row>
    <row r="13" spans="2:7" ht="15" customHeight="1">
      <c r="B13" s="170" t="s">
        <v>9</v>
      </c>
      <c r="C13" s="179">
        <f>G12</f>
        <v>7200150</v>
      </c>
      <c r="D13" s="167" t="s">
        <v>19</v>
      </c>
      <c r="E13" s="179">
        <f>'Tableau de résultat'!D17</f>
        <v>200100</v>
      </c>
      <c r="F13" s="170"/>
      <c r="G13" s="15"/>
    </row>
    <row r="14" spans="2:7" ht="15" customHeight="1" thickBot="1">
      <c r="B14" s="18" t="s">
        <v>47</v>
      </c>
      <c r="C14" s="16"/>
      <c r="D14" s="19" t="s">
        <v>20</v>
      </c>
      <c r="E14" s="16">
        <f>'Tableau de résultat'!D18</f>
        <v>5598070</v>
      </c>
      <c r="F14" s="18"/>
      <c r="G14" s="220"/>
    </row>
    <row r="15" spans="2:7" ht="15" customHeight="1" thickBot="1">
      <c r="B15" s="213" t="s">
        <v>313</v>
      </c>
      <c r="C15" s="171">
        <f>SUM(C13:C14)</f>
        <v>7200150</v>
      </c>
      <c r="D15" s="214" t="s">
        <v>313</v>
      </c>
      <c r="E15" s="171">
        <f>SUM(E13:E14)</f>
        <v>5798170</v>
      </c>
      <c r="F15" s="215" t="s">
        <v>316</v>
      </c>
      <c r="G15" s="171">
        <f>C15-E15</f>
        <v>1401980</v>
      </c>
    </row>
    <row r="16" spans="2:7" ht="15" customHeight="1">
      <c r="B16" s="170" t="s">
        <v>10</v>
      </c>
      <c r="C16" s="179">
        <f>IF(G15&gt;0,G15,0)</f>
        <v>1401980</v>
      </c>
      <c r="D16" s="167" t="s">
        <v>53</v>
      </c>
      <c r="E16" s="179">
        <f>-IF(G15&lt;0,G15,0)</f>
        <v>0</v>
      </c>
      <c r="F16" s="167"/>
      <c r="G16" s="15"/>
    </row>
    <row r="17" spans="2:7" ht="15" customHeight="1">
      <c r="B17" s="18" t="s">
        <v>11</v>
      </c>
      <c r="C17" s="16"/>
      <c r="D17" s="19" t="s">
        <v>48</v>
      </c>
      <c r="E17" s="16">
        <f>'Tableau de résultat'!D21</f>
        <v>841700</v>
      </c>
      <c r="F17" s="19"/>
      <c r="G17" s="1"/>
    </row>
    <row r="18" spans="2:7" ht="15" customHeight="1">
      <c r="B18" s="18" t="s">
        <v>12</v>
      </c>
      <c r="C18" s="16">
        <f>'Tableau de résultat'!G21</f>
        <v>94300</v>
      </c>
      <c r="D18" s="19"/>
      <c r="E18" s="16"/>
      <c r="F18" s="19"/>
      <c r="G18" s="1"/>
    </row>
    <row r="19" spans="2:7" ht="15" customHeight="1" thickBot="1">
      <c r="B19" s="18" t="s">
        <v>13</v>
      </c>
      <c r="C19" s="16">
        <f>'Tableau de résultat'!G26</f>
        <v>5800</v>
      </c>
      <c r="D19" s="19" t="s">
        <v>21</v>
      </c>
      <c r="E19" s="16">
        <f>'Tableau de résultat'!D26</f>
        <v>74200</v>
      </c>
      <c r="F19" s="19"/>
      <c r="G19" s="1"/>
    </row>
    <row r="20" spans="2:7" ht="15" customHeight="1" thickBot="1">
      <c r="B20" s="213" t="s">
        <v>313</v>
      </c>
      <c r="C20" s="171">
        <f>SUM(C16:C19)</f>
        <v>1502080</v>
      </c>
      <c r="D20" s="214" t="s">
        <v>313</v>
      </c>
      <c r="E20" s="171">
        <f>SUM(E16:E19)</f>
        <v>915900</v>
      </c>
      <c r="F20" s="215" t="s">
        <v>14</v>
      </c>
      <c r="G20" s="171">
        <f>C20-E20</f>
        <v>586180</v>
      </c>
    </row>
    <row r="21" spans="2:7" ht="15" customHeight="1">
      <c r="B21" s="18" t="s">
        <v>49</v>
      </c>
      <c r="C21" s="16">
        <f>IF(G20&gt;0,G20,"")</f>
        <v>586180</v>
      </c>
      <c r="D21" s="19" t="s">
        <v>54</v>
      </c>
      <c r="E21" s="16">
        <f>-IF(G20&lt;0,G20,0)</f>
        <v>0</v>
      </c>
      <c r="F21" s="19"/>
      <c r="G21" s="15"/>
    </row>
    <row r="22" spans="2:7" s="226" customFormat="1" ht="15" customHeight="1">
      <c r="B22" s="218" t="s">
        <v>318</v>
      </c>
      <c r="C22" s="238"/>
      <c r="D22" s="218" t="s">
        <v>318</v>
      </c>
      <c r="E22" s="238"/>
      <c r="F22" s="236"/>
      <c r="G22" s="237"/>
    </row>
    <row r="23" spans="2:7" ht="15" customHeight="1">
      <c r="B23" s="218"/>
      <c r="C23" s="238"/>
      <c r="D23" s="218"/>
      <c r="E23" s="238"/>
      <c r="F23" s="19"/>
      <c r="G23" s="1"/>
    </row>
    <row r="24" spans="2:7" ht="15" customHeight="1" thickBot="1">
      <c r="B24" s="18" t="s">
        <v>15</v>
      </c>
      <c r="C24" s="16">
        <f>'Tableau de résultat'!G36</f>
        <v>28500</v>
      </c>
      <c r="D24" s="19" t="s">
        <v>22</v>
      </c>
      <c r="E24" s="16">
        <f>'Tableau de résultat'!D36</f>
        <v>128300</v>
      </c>
      <c r="G24" s="220"/>
    </row>
    <row r="25" spans="2:7" ht="15" customHeight="1" thickBot="1">
      <c r="B25" s="221" t="s">
        <v>313</v>
      </c>
      <c r="C25" s="171">
        <f>SUM(C21:C24)</f>
        <v>614680</v>
      </c>
      <c r="D25" s="222" t="s">
        <v>313</v>
      </c>
      <c r="E25" s="171">
        <f>SUM(E21:E24)</f>
        <v>128300</v>
      </c>
      <c r="F25" s="223" t="s">
        <v>17</v>
      </c>
      <c r="G25" s="171">
        <f>C25-E25</f>
        <v>486380</v>
      </c>
    </row>
    <row r="26" spans="2:7" ht="15" customHeight="1" thickBot="1">
      <c r="B26" s="209" t="s">
        <v>16</v>
      </c>
      <c r="C26" s="224">
        <f>'Tableau de résultat'!G43</f>
        <v>125000</v>
      </c>
      <c r="D26" s="211" t="s">
        <v>23</v>
      </c>
      <c r="E26" s="224">
        <f>'Tableau de résultat'!D43</f>
        <v>190500</v>
      </c>
      <c r="F26" s="212" t="s">
        <v>18</v>
      </c>
      <c r="G26" s="171">
        <f>C26-E26</f>
        <v>-65500</v>
      </c>
    </row>
    <row r="27" spans="2:7" ht="15" customHeight="1">
      <c r="B27" s="18" t="s">
        <v>17</v>
      </c>
      <c r="C27" s="16">
        <f>IF(G25&gt;0,G25,0)</f>
        <v>486380</v>
      </c>
      <c r="D27" s="19" t="s">
        <v>50</v>
      </c>
      <c r="E27" s="16">
        <f>-IF(G25&lt;0,G25,0)</f>
        <v>0</v>
      </c>
      <c r="F27" s="19"/>
      <c r="G27" s="1"/>
    </row>
    <row r="28" spans="2:7" ht="15" customHeight="1">
      <c r="B28" s="18" t="s">
        <v>52</v>
      </c>
      <c r="C28" s="16">
        <f>IF(G26&gt;0,G26,0)</f>
        <v>0</v>
      </c>
      <c r="D28" s="19" t="s">
        <v>51</v>
      </c>
      <c r="E28" s="16">
        <f>-IF(G26&lt;0,G26,0)</f>
        <v>65500</v>
      </c>
      <c r="F28" s="19"/>
      <c r="G28" s="1"/>
    </row>
    <row r="29" spans="2:7" ht="15" customHeight="1">
      <c r="B29" s="18"/>
      <c r="C29" s="16"/>
      <c r="D29" s="19" t="s">
        <v>24</v>
      </c>
      <c r="E29" s="16"/>
      <c r="F29" s="19"/>
      <c r="G29" s="1"/>
    </row>
    <row r="30" spans="2:7" ht="15" customHeight="1" thickBot="1">
      <c r="B30" s="18"/>
      <c r="C30" s="16"/>
      <c r="D30" s="19" t="s">
        <v>25</v>
      </c>
      <c r="E30" s="16">
        <f>'Tableau de résultat'!D45</f>
        <v>212900</v>
      </c>
      <c r="F30" s="19"/>
      <c r="G30" s="1"/>
    </row>
    <row r="31" spans="2:7" ht="15" customHeight="1" thickBot="1">
      <c r="B31" s="213" t="s">
        <v>313</v>
      </c>
      <c r="C31" s="171">
        <f>SUM(C27:C30)</f>
        <v>486380</v>
      </c>
      <c r="D31" s="214" t="s">
        <v>313</v>
      </c>
      <c r="E31" s="171">
        <f>SUM(E27:E30)</f>
        <v>278400</v>
      </c>
      <c r="F31" s="223" t="s">
        <v>27</v>
      </c>
      <c r="G31" s="225">
        <f>C31-E31</f>
        <v>207980</v>
      </c>
    </row>
    <row r="32" spans="2:7" s="226" customFormat="1" ht="30.75" thickBot="1">
      <c r="B32" s="227" t="s">
        <v>314</v>
      </c>
      <c r="C32" s="230">
        <f>'Tableau de résultat'!F40</f>
        <v>105000</v>
      </c>
      <c r="D32" s="228" t="s">
        <v>26</v>
      </c>
      <c r="E32" s="230">
        <f>'Tableau de résultat'!C40</f>
        <v>130000</v>
      </c>
      <c r="F32" s="229" t="s">
        <v>315</v>
      </c>
      <c r="G32" s="230">
        <f>C32-E32</f>
        <v>-25000</v>
      </c>
    </row>
  </sheetData>
  <sheetProtection/>
  <mergeCells count="12">
    <mergeCell ref="E10:E11"/>
    <mergeCell ref="D10:D11"/>
    <mergeCell ref="E6:E8"/>
    <mergeCell ref="D6:D8"/>
    <mergeCell ref="D22:D23"/>
    <mergeCell ref="B22:B23"/>
    <mergeCell ref="E22:E23"/>
    <mergeCell ref="C22:C23"/>
    <mergeCell ref="B2:G2"/>
    <mergeCell ref="B4:C4"/>
    <mergeCell ref="D4:E4"/>
    <mergeCell ref="F4:G4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0" customWidth="1"/>
    <col min="2" max="2" width="54.7109375" style="20" customWidth="1"/>
    <col min="3" max="4" width="13.7109375" style="20" customWidth="1"/>
    <col min="5" max="16384" width="11.421875" style="20" customWidth="1"/>
  </cols>
  <sheetData>
    <row r="1" spans="1:4" ht="16.5" thickBot="1">
      <c r="A1" s="239"/>
      <c r="B1" s="239"/>
      <c r="C1" s="239"/>
      <c r="D1" s="239"/>
    </row>
    <row r="2" spans="2:5" ht="16.5" thickBot="1">
      <c r="B2" s="192" t="s">
        <v>321</v>
      </c>
      <c r="C2" s="193"/>
      <c r="D2" s="194"/>
      <c r="E2" s="243"/>
    </row>
    <row r="3" spans="3:5" ht="16.5" thickBot="1">
      <c r="C3" s="240"/>
      <c r="D3" s="240"/>
      <c r="E3" s="243"/>
    </row>
    <row r="4" spans="2:5" ht="16.5" thickBot="1">
      <c r="B4" s="250" t="s">
        <v>319</v>
      </c>
      <c r="C4" s="251" t="s">
        <v>33</v>
      </c>
      <c r="D4" s="251" t="s">
        <v>34</v>
      </c>
      <c r="E4" s="243"/>
    </row>
    <row r="5" spans="2:5" ht="15.75">
      <c r="B5" s="249" t="s">
        <v>322</v>
      </c>
      <c r="C5" s="28"/>
      <c r="D5" s="28">
        <f>SIG!G15+Annexes!C45</f>
        <v>1541980</v>
      </c>
      <c r="E5" s="243"/>
    </row>
    <row r="6" spans="2:5" ht="15.75">
      <c r="B6" s="196" t="s">
        <v>244</v>
      </c>
      <c r="C6" s="28"/>
      <c r="D6" s="28"/>
      <c r="E6" s="243"/>
    </row>
    <row r="7" spans="2:5" ht="15.75">
      <c r="B7" s="196" t="s">
        <v>13</v>
      </c>
      <c r="C7" s="28"/>
      <c r="D7" s="28">
        <f>SIG!C19</f>
        <v>5800</v>
      </c>
      <c r="E7" s="243"/>
    </row>
    <row r="8" spans="2:5" ht="15.75">
      <c r="B8" s="196" t="s">
        <v>323</v>
      </c>
      <c r="C8" s="28"/>
      <c r="D8" s="28"/>
      <c r="E8" s="243"/>
    </row>
    <row r="9" spans="2:5" ht="15.75">
      <c r="B9" s="196" t="s">
        <v>177</v>
      </c>
      <c r="C9" s="28"/>
      <c r="D9" s="28"/>
      <c r="E9" s="243"/>
    </row>
    <row r="10" spans="2:5" ht="15.75">
      <c r="B10" s="196" t="s">
        <v>324</v>
      </c>
      <c r="C10" s="28"/>
      <c r="D10" s="28">
        <f>'Tableau de résultat'!F30</f>
        <v>18500</v>
      </c>
      <c r="E10" s="243"/>
    </row>
    <row r="11" spans="2:5" ht="15.75">
      <c r="B11" s="196" t="s">
        <v>325</v>
      </c>
      <c r="C11" s="28"/>
      <c r="D11" s="28"/>
      <c r="E11" s="243"/>
    </row>
    <row r="12" spans="2:5" ht="15.75">
      <c r="B12" s="196" t="s">
        <v>326</v>
      </c>
      <c r="C12" s="28"/>
      <c r="D12" s="28"/>
      <c r="E12" s="243"/>
    </row>
    <row r="13" spans="2:5" ht="15.75">
      <c r="B13" s="196" t="s">
        <v>180</v>
      </c>
      <c r="C13" s="28"/>
      <c r="D13" s="28"/>
      <c r="E13" s="243"/>
    </row>
    <row r="14" spans="2:5" ht="15.75">
      <c r="B14" s="196" t="s">
        <v>181</v>
      </c>
      <c r="C14" s="28"/>
      <c r="D14" s="28"/>
      <c r="E14" s="243"/>
    </row>
    <row r="15" spans="2:5" ht="15.75">
      <c r="B15" s="196" t="s">
        <v>327</v>
      </c>
      <c r="C15" s="28"/>
      <c r="D15" s="28"/>
      <c r="E15" s="243"/>
    </row>
    <row r="16" spans="2:5" ht="15.75">
      <c r="B16" s="196" t="s">
        <v>328</v>
      </c>
      <c r="C16" s="28"/>
      <c r="D16" s="28"/>
      <c r="E16" s="243"/>
    </row>
    <row r="17" spans="2:5" ht="16.5" thickBot="1">
      <c r="B17" s="244" t="s">
        <v>329</v>
      </c>
      <c r="C17" s="28"/>
      <c r="D17" s="26"/>
      <c r="E17" s="243"/>
    </row>
    <row r="18" spans="2:5" ht="16.5" thickBot="1">
      <c r="B18" s="254" t="s">
        <v>330</v>
      </c>
      <c r="C18" s="189"/>
      <c r="D18" s="255">
        <f>SUM(D5:D17)</f>
        <v>1566280</v>
      </c>
      <c r="E18" s="243"/>
    </row>
    <row r="19" spans="2:5" ht="15.75">
      <c r="B19" s="195" t="s">
        <v>21</v>
      </c>
      <c r="C19" s="197">
        <f>'Tableau de résultat'!D26</f>
        <v>74200</v>
      </c>
      <c r="D19" s="197"/>
      <c r="E19" s="243"/>
    </row>
    <row r="20" spans="2:5" ht="15.75">
      <c r="B20" s="196" t="s">
        <v>323</v>
      </c>
      <c r="C20" s="28"/>
      <c r="D20" s="28"/>
      <c r="E20" s="243"/>
    </row>
    <row r="21" spans="2:5" ht="15.75">
      <c r="B21" s="196" t="s">
        <v>170</v>
      </c>
      <c r="C21" s="28">
        <f>'Tableau de résultat'!C30+Annexes!C47</f>
        <v>164500</v>
      </c>
      <c r="D21" s="28"/>
      <c r="E21" s="243"/>
    </row>
    <row r="22" spans="2:5" ht="15.75">
      <c r="B22" s="196" t="s">
        <v>171</v>
      </c>
      <c r="C22" s="28"/>
      <c r="D22" s="28"/>
      <c r="E22" s="243"/>
    </row>
    <row r="23" spans="2:5" ht="15.75">
      <c r="B23" s="196" t="s">
        <v>333</v>
      </c>
      <c r="C23" s="28">
        <f>'Tableau de résultat'!C35</f>
        <v>3800</v>
      </c>
      <c r="D23" s="28"/>
      <c r="E23" s="243"/>
    </row>
    <row r="24" spans="2:5" ht="15.75">
      <c r="B24" s="196" t="s">
        <v>334</v>
      </c>
      <c r="C24" s="28">
        <f>'Tableau de résultat'!C38</f>
        <v>12500</v>
      </c>
      <c r="D24" s="28"/>
      <c r="E24" s="243"/>
    </row>
    <row r="25" spans="2:5" ht="15.75">
      <c r="B25" s="196" t="s">
        <v>335</v>
      </c>
      <c r="C25" s="28"/>
      <c r="D25" s="28"/>
      <c r="E25" s="243"/>
    </row>
    <row r="26" spans="2:5" ht="15.75">
      <c r="B26" s="196" t="s">
        <v>24</v>
      </c>
      <c r="C26" s="28"/>
      <c r="D26" s="28"/>
      <c r="E26" s="243"/>
    </row>
    <row r="27" spans="2:5" ht="16.5" thickBot="1">
      <c r="B27" s="244" t="s">
        <v>25</v>
      </c>
      <c r="C27" s="26">
        <f>SIG!E30</f>
        <v>212900</v>
      </c>
      <c r="D27" s="28"/>
      <c r="E27" s="243"/>
    </row>
    <row r="28" spans="2:5" ht="16.5" thickBot="1">
      <c r="B28" s="254" t="s">
        <v>331</v>
      </c>
      <c r="C28" s="255">
        <f>SUM(C19:C27)</f>
        <v>467900</v>
      </c>
      <c r="D28" s="189"/>
      <c r="E28" s="243"/>
    </row>
    <row r="29" spans="2:5" ht="16.5" thickBot="1">
      <c r="B29" s="256" t="s">
        <v>332</v>
      </c>
      <c r="C29" s="189">
        <f>IF(D18&lt;C28,C28-D18,"")</f>
      </c>
      <c r="D29" s="201">
        <f>IF(D18&gt;C28,D18-C28,"")</f>
        <v>1098380</v>
      </c>
      <c r="E29" s="243"/>
    </row>
    <row r="30" spans="2:5" ht="16.5" thickBot="1">
      <c r="B30" s="245" t="s">
        <v>288</v>
      </c>
      <c r="C30" s="246"/>
      <c r="D30" s="247"/>
      <c r="E30" s="243"/>
    </row>
    <row r="31" spans="2:5" ht="16.5" thickBot="1">
      <c r="B31" s="31"/>
      <c r="C31" s="31"/>
      <c r="D31" s="31"/>
      <c r="E31" s="243"/>
    </row>
    <row r="32" spans="2:4" ht="16.5" thickBot="1">
      <c r="B32" s="250" t="s">
        <v>320</v>
      </c>
      <c r="C32" s="251" t="s">
        <v>33</v>
      </c>
      <c r="D32" s="252" t="s">
        <v>34</v>
      </c>
    </row>
    <row r="33" spans="2:4" ht="15.75">
      <c r="B33" s="249" t="s">
        <v>336</v>
      </c>
      <c r="C33" s="28"/>
      <c r="D33" s="241">
        <f>'Tableau de résultat'!D47-50000</f>
        <v>157980</v>
      </c>
    </row>
    <row r="34" spans="2:4" ht="15.75">
      <c r="B34" s="196" t="s">
        <v>337</v>
      </c>
      <c r="C34" s="28"/>
      <c r="D34" s="241">
        <f>'Tableau de résultat'!D21+('Bilan N-1'!C42-'Bilan N'!C42)+Annexes!C46</f>
        <v>991700</v>
      </c>
    </row>
    <row r="35" spans="2:4" ht="15.75">
      <c r="B35" s="196" t="s">
        <v>338</v>
      </c>
      <c r="C35" s="28"/>
      <c r="D35" s="241"/>
    </row>
    <row r="36" spans="2:4" ht="15.75">
      <c r="B36" s="196" t="s">
        <v>339</v>
      </c>
      <c r="C36" s="28"/>
      <c r="D36" s="241">
        <f>'Tableau de résultat'!C41</f>
        <v>48000</v>
      </c>
    </row>
    <row r="37" spans="2:4" ht="16.5" thickBot="1">
      <c r="B37" s="244" t="s">
        <v>340</v>
      </c>
      <c r="C37" s="28"/>
      <c r="D37" s="242">
        <f>'Tableau de résultat'!C40</f>
        <v>130000</v>
      </c>
    </row>
    <row r="38" spans="2:4" ht="16.5" thickBot="1">
      <c r="B38" s="257" t="s">
        <v>341</v>
      </c>
      <c r="C38" s="189"/>
      <c r="D38" s="258">
        <f>SUM(D33:D37)-C33</f>
        <v>1327680</v>
      </c>
    </row>
    <row r="39" spans="2:4" ht="15.75">
      <c r="B39" s="196" t="s">
        <v>342</v>
      </c>
      <c r="C39" s="28">
        <f>'Tableau de résultat'!G21</f>
        <v>94300</v>
      </c>
      <c r="D39" s="241"/>
    </row>
    <row r="40" spans="2:4" ht="15.75">
      <c r="B40" s="196" t="s">
        <v>343</v>
      </c>
      <c r="C40" s="28">
        <f>'Tableau de résultat'!F33</f>
        <v>10000</v>
      </c>
      <c r="D40" s="241"/>
    </row>
    <row r="41" spans="2:4" ht="15.75">
      <c r="B41" s="196" t="s">
        <v>344</v>
      </c>
      <c r="C41" s="28"/>
      <c r="D41" s="241"/>
    </row>
    <row r="42" spans="2:4" ht="15.75">
      <c r="B42" s="196" t="s">
        <v>345</v>
      </c>
      <c r="C42" s="28">
        <f>'Tableau de résultat'!F40</f>
        <v>105000</v>
      </c>
      <c r="D42" s="241"/>
    </row>
    <row r="43" spans="2:4" ht="16.5" thickBot="1">
      <c r="B43" s="244" t="s">
        <v>346</v>
      </c>
      <c r="C43" s="26">
        <f>'Tableau de résultat'!F41</f>
        <v>20000</v>
      </c>
      <c r="D43" s="28"/>
    </row>
    <row r="44" spans="2:4" ht="16.5" thickBot="1">
      <c r="B44" s="257" t="s">
        <v>347</v>
      </c>
      <c r="C44" s="255">
        <f>SUM(C39:C43)</f>
        <v>229300</v>
      </c>
      <c r="D44" s="189"/>
    </row>
    <row r="45" spans="2:4" ht="16.5" thickBot="1">
      <c r="B45" s="256" t="s">
        <v>332</v>
      </c>
      <c r="C45" s="189">
        <f>IF(D38&lt;C44,C44-D38,"")</f>
      </c>
      <c r="D45" s="253">
        <f>IF(D38&gt;C44,D38-C44,"")</f>
        <v>1098380</v>
      </c>
    </row>
    <row r="46" spans="2:4" ht="16.5" thickBot="1">
      <c r="B46" s="245" t="s">
        <v>288</v>
      </c>
      <c r="C46" s="246"/>
      <c r="D46" s="247"/>
    </row>
  </sheetData>
  <sheetProtection/>
  <mergeCells count="4">
    <mergeCell ref="B46:D46"/>
    <mergeCell ref="B2:D2"/>
    <mergeCell ref="A1:D1"/>
    <mergeCell ref="B30:D30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showGridLines="0" zoomScalePageLayoutView="0" workbookViewId="0" topLeftCell="A1">
      <selection activeCell="B2" sqref="B2:G8"/>
    </sheetView>
  </sheetViews>
  <sheetFormatPr defaultColWidth="11.421875" defaultRowHeight="12.75"/>
  <cols>
    <col min="1" max="1" width="3.7109375" style="20" customWidth="1"/>
    <col min="2" max="2" width="23.28125" style="20" customWidth="1"/>
    <col min="3" max="4" width="13.7109375" style="20" customWidth="1"/>
    <col min="5" max="5" width="23.28125" style="20" customWidth="1"/>
    <col min="6" max="7" width="13.7109375" style="20" customWidth="1"/>
    <col min="8" max="16384" width="11.421875" style="20" customWidth="1"/>
  </cols>
  <sheetData>
    <row r="1" spans="2:3" ht="24.75" customHeight="1" thickBot="1">
      <c r="B1" s="248"/>
      <c r="C1" s="259"/>
    </row>
    <row r="2" spans="2:7" ht="16.5" thickBot="1">
      <c r="B2" s="21" t="s">
        <v>355</v>
      </c>
      <c r="C2" s="22"/>
      <c r="D2" s="22"/>
      <c r="E2" s="22"/>
      <c r="F2" s="22"/>
      <c r="G2" s="23"/>
    </row>
    <row r="3" spans="2:7" ht="16.5" thickBot="1">
      <c r="B3" s="250" t="s">
        <v>55</v>
      </c>
      <c r="C3" s="251" t="s">
        <v>61</v>
      </c>
      <c r="D3" s="251" t="s">
        <v>28</v>
      </c>
      <c r="E3" s="267" t="s">
        <v>60</v>
      </c>
      <c r="F3" s="268" t="s">
        <v>61</v>
      </c>
      <c r="G3" s="269" t="s">
        <v>28</v>
      </c>
    </row>
    <row r="4" spans="2:7" ht="15.75">
      <c r="B4" s="260" t="s">
        <v>348</v>
      </c>
      <c r="C4" s="266">
        <f>'Bilan N-1'!C27+'Bilan N-1'!C50</f>
        <v>5735000</v>
      </c>
      <c r="D4" s="266">
        <f>'Bilan N'!C27+'Bilan N-1'!C50-'Bilan N'!C48</f>
        <v>7220000</v>
      </c>
      <c r="E4" s="263" t="s">
        <v>352</v>
      </c>
      <c r="F4" s="266">
        <f>'Bilan N-1'!G24+'Bilan N-1'!G27+'Bilan N-1'!G32+'Bilan N-1'!G33+'Bilan N-1'!D46+'Bilan N-1'!C50-'Bilan N-1'!G47-'Bilan N-1'!C42</f>
        <v>6321000</v>
      </c>
      <c r="G4" s="266">
        <f>'Bilan N'!G24+'Bilan N'!G27+'Bilan N'!G32+'Bilan N'!G33-'Bilan N'!G47+'Bilan N'!D46+'Bilan N-1'!C50-'Bilan N'!C47-'Bilan N'!C42-'Bilan N-1'!C47</f>
        <v>7705570</v>
      </c>
    </row>
    <row r="5" spans="2:7" ht="15.75">
      <c r="B5" s="261" t="s">
        <v>349</v>
      </c>
      <c r="C5" s="24">
        <f>SUM('Bilan N-1'!C30:C37)+'Bilan N-1'!C41+'Bilan N-1'!C48</f>
        <v>1964000</v>
      </c>
      <c r="D5" s="24">
        <f>SUM('Bilan N'!C30:C37)+'Bilan N'!C41+'Bilan N'!C44+'Bilan N'!C49</f>
        <v>2283800</v>
      </c>
      <c r="E5" s="264" t="s">
        <v>353</v>
      </c>
      <c r="F5" s="24">
        <f>SUM('Bilan N-1'!G36:G38)+'Bilan N-1'!G43+'Bilan N-1'!G34</f>
        <v>1072500</v>
      </c>
      <c r="G5" s="24">
        <f>SUM('Bilan N'!G36:G38)+'Bilan N'!G43+'Bilan N'!G44+'Bilan N'!G34</f>
        <v>1230440</v>
      </c>
    </row>
    <row r="6" spans="2:7" ht="15.75">
      <c r="B6" s="261" t="s">
        <v>350</v>
      </c>
      <c r="C6" s="24">
        <f>'Bilan N-1'!C39</f>
        <v>63000</v>
      </c>
      <c r="D6" s="24">
        <f>'Bilan N'!C39+'Bilan N'!C48</f>
        <v>33000</v>
      </c>
      <c r="E6" s="264" t="s">
        <v>354</v>
      </c>
      <c r="F6" s="24">
        <f>SUM('Bilan N-1'!G40:G42)</f>
        <v>447000</v>
      </c>
      <c r="G6" s="24">
        <f>SUM('Bilan N'!G40:G42)+'Bilan N'!C47+'Bilan N-1'!C47</f>
        <v>617990</v>
      </c>
    </row>
    <row r="7" spans="2:7" ht="16.5" thickBot="1">
      <c r="B7" s="262" t="s">
        <v>351</v>
      </c>
      <c r="C7" s="29">
        <f>'Bilan N-1'!C40</f>
        <v>208500</v>
      </c>
      <c r="D7" s="29">
        <f>'Bilan N'!C40</f>
        <v>235200</v>
      </c>
      <c r="E7" s="265" t="s">
        <v>351</v>
      </c>
      <c r="F7" s="29">
        <f>'Bilan N-1'!G47+'Bilan N-1'!C48</f>
        <v>130000</v>
      </c>
      <c r="G7" s="29">
        <f>'Bilan N'!G47+'Bilan N'!C49</f>
        <v>218000</v>
      </c>
    </row>
    <row r="8" spans="2:7" ht="16.5" thickBot="1">
      <c r="B8" s="270" t="s">
        <v>258</v>
      </c>
      <c r="C8" s="271">
        <f>SUM(C4:C7)</f>
        <v>7970500</v>
      </c>
      <c r="D8" s="272">
        <f>SUM(D4:D7)</f>
        <v>9772000</v>
      </c>
      <c r="E8" s="270" t="s">
        <v>258</v>
      </c>
      <c r="F8" s="271">
        <f>SUM(F4:F7)</f>
        <v>7970500</v>
      </c>
      <c r="G8" s="272">
        <f>SUM(G4:G7)</f>
        <v>9772000</v>
      </c>
    </row>
    <row r="10" spans="4:6" ht="15.75">
      <c r="D10" s="191"/>
      <c r="F10" s="191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6" customWidth="1"/>
    <col min="2" max="2" width="2.7109375" style="277" customWidth="1"/>
    <col min="3" max="3" width="57.7109375" style="6" customWidth="1"/>
    <col min="4" max="6" width="13.7109375" style="6" customWidth="1"/>
    <col min="7" max="16384" width="11.421875" style="6" customWidth="1"/>
  </cols>
  <sheetData>
    <row r="1" spans="3:4" ht="15.75" thickBot="1">
      <c r="C1" s="185"/>
      <c r="D1" s="273"/>
    </row>
    <row r="2" spans="2:6" ht="15.75" thickBot="1">
      <c r="B2" s="11" t="s">
        <v>358</v>
      </c>
      <c r="C2" s="152"/>
      <c r="D2" s="152"/>
      <c r="E2" s="152"/>
      <c r="F2" s="153"/>
    </row>
    <row r="3" spans="2:6" ht="15.75" thickBot="1">
      <c r="B3" s="205" t="s">
        <v>89</v>
      </c>
      <c r="C3" s="206"/>
      <c r="D3" s="12" t="s">
        <v>61</v>
      </c>
      <c r="E3" s="12" t="s">
        <v>28</v>
      </c>
      <c r="F3" s="278" t="s">
        <v>356</v>
      </c>
    </row>
    <row r="4" spans="2:6" ht="15">
      <c r="B4" s="279"/>
      <c r="C4" s="280" t="s">
        <v>93</v>
      </c>
      <c r="D4" s="281">
        <f>'Bilans fonctionnels'!F4</f>
        <v>6321000</v>
      </c>
      <c r="E4" s="282">
        <f>'Bilans fonctionnels'!G4</f>
        <v>7705570</v>
      </c>
      <c r="F4" s="281">
        <f>E4-D4</f>
        <v>1384570</v>
      </c>
    </row>
    <row r="5" spans="2:6" ht="15.75" thickBot="1">
      <c r="B5" s="283" t="s">
        <v>90</v>
      </c>
      <c r="C5" s="284" t="s">
        <v>94</v>
      </c>
      <c r="D5" s="285">
        <f>'Bilans fonctionnels'!C4</f>
        <v>5735000</v>
      </c>
      <c r="E5" s="286">
        <f>'Bilans fonctionnels'!D4</f>
        <v>7220000</v>
      </c>
      <c r="F5" s="285">
        <f>E5-D5</f>
        <v>1485000</v>
      </c>
    </row>
    <row r="6" spans="2:6" ht="15.75" thickBot="1">
      <c r="B6" s="287" t="s">
        <v>91</v>
      </c>
      <c r="C6" s="288" t="s">
        <v>95</v>
      </c>
      <c r="D6" s="289">
        <f>D4-D5</f>
        <v>586000</v>
      </c>
      <c r="E6" s="290">
        <f>E4-E5</f>
        <v>485570</v>
      </c>
      <c r="F6" s="291">
        <f>F4-F5</f>
        <v>-100430</v>
      </c>
    </row>
    <row r="7" spans="2:6" ht="15">
      <c r="B7" s="279"/>
      <c r="C7" s="280" t="s">
        <v>96</v>
      </c>
      <c r="D7" s="281">
        <f>'Bilans fonctionnels'!C5</f>
        <v>1964000</v>
      </c>
      <c r="E7" s="282">
        <f>'Bilans fonctionnels'!D5</f>
        <v>2283800</v>
      </c>
      <c r="F7" s="281">
        <f>E7-D7</f>
        <v>319800</v>
      </c>
    </row>
    <row r="8" spans="2:6" ht="15.75" thickBot="1">
      <c r="B8" s="292" t="s">
        <v>90</v>
      </c>
      <c r="C8" s="293" t="s">
        <v>97</v>
      </c>
      <c r="D8" s="285">
        <f>'Bilans fonctionnels'!F5</f>
        <v>1072500</v>
      </c>
      <c r="E8" s="286">
        <f>'Bilans fonctionnels'!G5</f>
        <v>1230440</v>
      </c>
      <c r="F8" s="294">
        <f>E8-D8</f>
        <v>157940</v>
      </c>
    </row>
    <row r="9" spans="2:6" ht="15.75" thickBot="1">
      <c r="B9" s="295" t="s">
        <v>91</v>
      </c>
      <c r="C9" s="296" t="s">
        <v>100</v>
      </c>
      <c r="D9" s="289">
        <f>D7-D8</f>
        <v>891500</v>
      </c>
      <c r="E9" s="290">
        <f>E7-E8</f>
        <v>1053360</v>
      </c>
      <c r="F9" s="297">
        <f>F7-F8</f>
        <v>161860</v>
      </c>
    </row>
    <row r="10" spans="2:6" ht="15">
      <c r="B10" s="292"/>
      <c r="C10" s="293" t="s">
        <v>98</v>
      </c>
      <c r="D10" s="281">
        <f>'Bilans fonctionnels'!C6</f>
        <v>63000</v>
      </c>
      <c r="E10" s="282">
        <f>'Bilans fonctionnels'!D6</f>
        <v>33000</v>
      </c>
      <c r="F10" s="298">
        <f>E10-D10</f>
        <v>-30000</v>
      </c>
    </row>
    <row r="11" spans="2:6" ht="15.75" thickBot="1">
      <c r="B11" s="292" t="s">
        <v>90</v>
      </c>
      <c r="C11" s="293" t="s">
        <v>99</v>
      </c>
      <c r="D11" s="285">
        <f>'Bilans fonctionnels'!F6</f>
        <v>447000</v>
      </c>
      <c r="E11" s="286">
        <f>'Bilans fonctionnels'!G6</f>
        <v>617990</v>
      </c>
      <c r="F11" s="294">
        <f>E11-D11</f>
        <v>170990</v>
      </c>
    </row>
    <row r="12" spans="2:6" ht="15.75" thickBot="1">
      <c r="B12" s="295" t="s">
        <v>91</v>
      </c>
      <c r="C12" s="296" t="s">
        <v>106</v>
      </c>
      <c r="D12" s="289">
        <f>D10-D11</f>
        <v>-384000</v>
      </c>
      <c r="E12" s="290">
        <f>E10-E11</f>
        <v>-584990</v>
      </c>
      <c r="F12" s="297">
        <f>F10-F11</f>
        <v>-200990</v>
      </c>
    </row>
    <row r="13" spans="2:6" ht="15.75" thickBot="1">
      <c r="B13" s="295"/>
      <c r="C13" s="296" t="s">
        <v>101</v>
      </c>
      <c r="D13" s="289">
        <f>D9+D12</f>
        <v>507500</v>
      </c>
      <c r="E13" s="290">
        <f>E9+E12</f>
        <v>468370</v>
      </c>
      <c r="F13" s="297">
        <f>F9+F12</f>
        <v>-39130</v>
      </c>
    </row>
    <row r="14" spans="2:6" ht="15">
      <c r="B14" s="292"/>
      <c r="C14" s="293" t="s">
        <v>102</v>
      </c>
      <c r="D14" s="281">
        <f>'Bilans fonctionnels'!C7</f>
        <v>208500</v>
      </c>
      <c r="E14" s="282">
        <f>'Bilans fonctionnels'!D7</f>
        <v>235200</v>
      </c>
      <c r="F14" s="298">
        <f>E14-D14</f>
        <v>26700</v>
      </c>
    </row>
    <row r="15" spans="2:6" ht="15.75" thickBot="1">
      <c r="B15" s="292" t="s">
        <v>90</v>
      </c>
      <c r="C15" s="293" t="s">
        <v>103</v>
      </c>
      <c r="D15" s="285">
        <f>'Bilans fonctionnels'!F7</f>
        <v>130000</v>
      </c>
      <c r="E15" s="286">
        <f>'Bilans fonctionnels'!G7</f>
        <v>218000</v>
      </c>
      <c r="F15" s="294">
        <f>E15-D15</f>
        <v>88000</v>
      </c>
    </row>
    <row r="16" spans="2:6" ht="15.75" thickBot="1">
      <c r="B16" s="295" t="s">
        <v>91</v>
      </c>
      <c r="C16" s="299" t="s">
        <v>104</v>
      </c>
      <c r="D16" s="289">
        <f>D14-D15</f>
        <v>78500</v>
      </c>
      <c r="E16" s="290">
        <f>E14-E15</f>
        <v>17200</v>
      </c>
      <c r="F16" s="297">
        <f>E16-D16</f>
        <v>-61300</v>
      </c>
    </row>
    <row r="17" spans="2:6" ht="15.75" thickBot="1">
      <c r="B17" s="205" t="s">
        <v>105</v>
      </c>
      <c r="C17" s="206"/>
      <c r="D17" s="12" t="s">
        <v>61</v>
      </c>
      <c r="E17" s="12" t="s">
        <v>28</v>
      </c>
      <c r="F17" s="278" t="s">
        <v>356</v>
      </c>
    </row>
    <row r="18" spans="2:8" ht="15.75" thickBot="1">
      <c r="B18" s="300"/>
      <c r="C18" s="301" t="s">
        <v>92</v>
      </c>
      <c r="D18" s="274">
        <f>D6</f>
        <v>586000</v>
      </c>
      <c r="E18" s="274">
        <f>E6</f>
        <v>485570</v>
      </c>
      <c r="F18" s="302">
        <f>F6</f>
        <v>-100430</v>
      </c>
      <c r="H18" s="4"/>
    </row>
    <row r="19" spans="2:7" ht="15.75" thickBot="1">
      <c r="B19" s="303"/>
      <c r="C19" s="304" t="s">
        <v>357</v>
      </c>
      <c r="D19" s="305">
        <f>D9+D12+D16</f>
        <v>586000</v>
      </c>
      <c r="E19" s="156">
        <f>E9+E12+E16</f>
        <v>485570</v>
      </c>
      <c r="F19" s="306">
        <f>F9+F12+F16</f>
        <v>-100430</v>
      </c>
      <c r="G19" s="4"/>
    </row>
    <row r="20" spans="3:6" ht="15">
      <c r="C20" s="9"/>
      <c r="D20" s="150"/>
      <c r="E20" s="275"/>
      <c r="F20" s="275"/>
    </row>
  </sheetData>
  <sheetProtection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0" customWidth="1"/>
    <col min="2" max="2" width="47.7109375" style="20" customWidth="1"/>
    <col min="3" max="3" width="13.7109375" style="20" customWidth="1"/>
    <col min="4" max="4" width="47.7109375" style="20" customWidth="1"/>
    <col min="5" max="5" width="13.7109375" style="20" customWidth="1"/>
    <col min="6" max="16384" width="11.421875" style="20" customWidth="1"/>
  </cols>
  <sheetData>
    <row r="1" spans="2:5" ht="16.5" thickBot="1">
      <c r="B1" s="307"/>
      <c r="C1" s="307"/>
      <c r="D1" s="307"/>
      <c r="E1" s="307"/>
    </row>
    <row r="2" spans="2:5" ht="16.5" thickBot="1">
      <c r="B2" s="192" t="s">
        <v>359</v>
      </c>
      <c r="C2" s="193"/>
      <c r="D2" s="193"/>
      <c r="E2" s="194"/>
    </row>
    <row r="3" spans="2:5" ht="16.5" thickBot="1">
      <c r="B3" s="251" t="s">
        <v>130</v>
      </c>
      <c r="C3" s="251" t="s">
        <v>35</v>
      </c>
      <c r="D3" s="251" t="s">
        <v>131</v>
      </c>
      <c r="E3" s="251" t="s">
        <v>35</v>
      </c>
    </row>
    <row r="4" spans="2:5" ht="9.75" customHeight="1">
      <c r="B4" s="313"/>
      <c r="C4" s="313"/>
      <c r="D4" s="313"/>
      <c r="E4" s="313"/>
    </row>
    <row r="5" spans="2:5" ht="15.75">
      <c r="B5" s="198" t="s">
        <v>132</v>
      </c>
      <c r="C5" s="28">
        <f>'Bilan N-1'!C47</f>
        <v>180000</v>
      </c>
      <c r="D5" s="198" t="s">
        <v>133</v>
      </c>
      <c r="E5" s="28">
        <f>CAF!D45</f>
        <v>1098380</v>
      </c>
    </row>
    <row r="6" spans="2:5" ht="9.75" customHeight="1">
      <c r="B6" s="198"/>
      <c r="C6" s="28"/>
      <c r="D6" s="198"/>
      <c r="E6" s="28"/>
    </row>
    <row r="7" spans="2:5" ht="15.75">
      <c r="B7" s="198" t="s">
        <v>134</v>
      </c>
      <c r="C7" s="28"/>
      <c r="D7" s="198" t="s">
        <v>135</v>
      </c>
      <c r="E7" s="28"/>
    </row>
    <row r="8" spans="2:5" ht="15.75">
      <c r="B8" s="198" t="s">
        <v>87</v>
      </c>
      <c r="C8" s="28">
        <f>Annexes!D6+Annexes!D8</f>
        <v>398000</v>
      </c>
      <c r="D8" s="198" t="s">
        <v>136</v>
      </c>
      <c r="E8" s="28"/>
    </row>
    <row r="9" spans="2:5" ht="15.75">
      <c r="B9" s="198" t="s">
        <v>137</v>
      </c>
      <c r="C9" s="28">
        <f>SUM(Annexes!D10:D14)-Annexes!E14</f>
        <v>1401000</v>
      </c>
      <c r="D9" s="198" t="s">
        <v>138</v>
      </c>
      <c r="E9" s="28"/>
    </row>
    <row r="10" spans="2:5" ht="15.75">
      <c r="B10" s="198" t="s">
        <v>139</v>
      </c>
      <c r="C10" s="28">
        <f>Annexes!D17-'Bilan N'!C48</f>
        <v>29000</v>
      </c>
      <c r="D10" s="198" t="s">
        <v>140</v>
      </c>
      <c r="E10" s="28">
        <f>'Tableau de résultat'!C49</f>
        <v>63000</v>
      </c>
    </row>
    <row r="11" spans="2:5" ht="9.75" customHeight="1">
      <c r="B11" s="198"/>
      <c r="C11" s="28"/>
      <c r="D11" s="198"/>
      <c r="E11" s="28"/>
    </row>
    <row r="12" spans="2:5" ht="15.75">
      <c r="B12" s="198"/>
      <c r="C12" s="28"/>
      <c r="D12" s="198" t="s">
        <v>141</v>
      </c>
      <c r="E12" s="28"/>
    </row>
    <row r="13" spans="2:5" ht="15.75">
      <c r="B13" s="198" t="s">
        <v>142</v>
      </c>
      <c r="C13" s="28"/>
      <c r="D13" s="198" t="s">
        <v>143</v>
      </c>
      <c r="E13" s="28">
        <f>Annexes!E17+'Tableau de résultat'!C50</f>
        <v>117000</v>
      </c>
    </row>
    <row r="14" spans="2:5" ht="9.75" customHeight="1">
      <c r="B14" s="198"/>
      <c r="C14" s="28"/>
      <c r="D14" s="198"/>
      <c r="E14" s="28"/>
    </row>
    <row r="15" spans="2:5" ht="15.75">
      <c r="B15" s="198" t="s">
        <v>144</v>
      </c>
      <c r="C15" s="28"/>
      <c r="D15" s="198" t="s">
        <v>145</v>
      </c>
      <c r="E15" s="28">
        <f>'Bilan N'!G6+'Bilan N'!G7-'Bilan N-1'!G6</f>
        <v>162500</v>
      </c>
    </row>
    <row r="16" spans="2:5" ht="15.75">
      <c r="B16" s="198"/>
      <c r="C16" s="28"/>
      <c r="D16" s="198" t="s">
        <v>146</v>
      </c>
      <c r="E16" s="28"/>
    </row>
    <row r="17" spans="2:5" ht="15.75">
      <c r="B17" s="198"/>
      <c r="C17" s="28"/>
      <c r="D17" s="198" t="s">
        <v>147</v>
      </c>
      <c r="E17" s="28"/>
    </row>
    <row r="18" spans="2:5" ht="9.75" customHeight="1">
      <c r="B18" s="198"/>
      <c r="C18" s="28"/>
      <c r="D18" s="198"/>
      <c r="E18" s="28"/>
    </row>
    <row r="19" spans="2:5" ht="15.75">
      <c r="B19" s="198" t="s">
        <v>148</v>
      </c>
      <c r="C19" s="28">
        <f>'Bilan N-1'!C49+'Bilan N-1'!C50/5</f>
        <v>478910</v>
      </c>
      <c r="D19" s="198" t="s">
        <v>149</v>
      </c>
      <c r="E19" s="28">
        <v>945600</v>
      </c>
    </row>
    <row r="20" spans="2:5" ht="9.75" customHeight="1" thickBot="1">
      <c r="B20" s="199"/>
      <c r="C20" s="26"/>
      <c r="D20" s="199"/>
      <c r="E20" s="26"/>
    </row>
    <row r="21" spans="2:5" ht="16.5" thickBot="1">
      <c r="B21" s="309" t="s">
        <v>150</v>
      </c>
      <c r="C21" s="188">
        <f>SUM(C5:C19)</f>
        <v>2486910</v>
      </c>
      <c r="D21" s="309" t="s">
        <v>151</v>
      </c>
      <c r="E21" s="188">
        <f>SUM(E5:E19)</f>
        <v>2386480</v>
      </c>
    </row>
    <row r="22" spans="2:5" ht="32.25" thickBot="1">
      <c r="B22" s="310" t="s">
        <v>360</v>
      </c>
      <c r="C22" s="311">
        <f>IF(E21&gt;C21,E21-C21:C21,0)</f>
        <v>0</v>
      </c>
      <c r="D22" s="310" t="s">
        <v>361</v>
      </c>
      <c r="E22" s="312">
        <f>IF(C21&gt;E21,C21-E21,0)</f>
        <v>100430</v>
      </c>
    </row>
    <row r="23" spans="2:5" ht="16.5" thickBot="1">
      <c r="B23" s="309" t="s">
        <v>85</v>
      </c>
      <c r="C23" s="188">
        <f>C21+C22</f>
        <v>2486910</v>
      </c>
      <c r="D23" s="309" t="s">
        <v>85</v>
      </c>
      <c r="E23" s="188">
        <f>E21+E22</f>
        <v>2486910</v>
      </c>
    </row>
  </sheetData>
  <sheetProtection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2009-06-14T16:49:06Z</cp:lastPrinted>
  <dcterms:created xsi:type="dcterms:W3CDTF">2001-09-24T14:05:00Z</dcterms:created>
  <dcterms:modified xsi:type="dcterms:W3CDTF">2010-04-13T19:33:49Z</dcterms:modified>
  <cp:category/>
  <cp:version/>
  <cp:contentType/>
  <cp:contentStatus/>
</cp:coreProperties>
</file>