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firstSheet="8" activeTab="9"/>
  </bookViews>
  <sheets>
    <sheet name="Bilan N" sheetId="1" r:id="rId1"/>
    <sheet name="Bilan N+1" sheetId="2" r:id="rId2"/>
    <sheet name="Tableau de résultat N+1" sheetId="3" r:id="rId3"/>
    <sheet name="SIG" sheetId="4" r:id="rId4"/>
    <sheet name="CAF" sheetId="5" r:id="rId5"/>
    <sheet name="Affectation du résultat" sheetId="6" r:id="rId6"/>
    <sheet name="Bilan fonctionnel" sheetId="7" r:id="rId7"/>
    <sheet name="Analyse du bilan fonctionnel" sheetId="8" r:id="rId8"/>
    <sheet name="Tableau de financement I" sheetId="9" r:id="rId9"/>
    <sheet name="Tableau de financement II" sheetId="10" r:id="rId10"/>
  </sheets>
  <definedNames/>
  <calcPr fullCalcOnLoad="1"/>
</workbook>
</file>

<file path=xl/sharedStrings.xml><?xml version="1.0" encoding="utf-8"?>
<sst xmlns="http://schemas.openxmlformats.org/spreadsheetml/2006/main" count="478" uniqueCount="321">
  <si>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</si>
  <si>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</si>
  <si>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</si>
  <si>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</si>
  <si>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</si>
  <si>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</si>
  <si>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</si>
  <si>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</si>
  <si>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</si>
  <si>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</si>
  <si>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</si>
  <si>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</si>
  <si>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</si>
  <si>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</si>
  <si>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</si>
  <si>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</si>
  <si>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</si>
  <si>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</si>
  <si>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</si>
  <si>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</si>
  <si>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</si>
  <si>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</si>
  <si>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</si>
  <si>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</si>
  <si>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Résultat de l'exercice</t>
  </si>
  <si>
    <t>N</t>
  </si>
  <si>
    <t>Production Immobilisée</t>
  </si>
  <si>
    <t>Charges</t>
  </si>
  <si>
    <t>Produits</t>
  </si>
  <si>
    <t>Total général</t>
  </si>
  <si>
    <t>en -</t>
  </si>
  <si>
    <t>en +</t>
  </si>
  <si>
    <t>CAPACITE D AUTOFINANCEMENT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</si>
  <si>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</si>
  <si>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</si>
  <si>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</si>
  <si>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</si>
  <si>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</si>
  <si>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</si>
  <si>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</si>
  <si>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</si>
  <si>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</si>
  <si>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</si>
  <si>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</si>
  <si>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</si>
  <si>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</si>
  <si>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</si>
  <si>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</si>
  <si>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</si>
  <si>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</si>
  <si>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</si>
  <si>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</si>
  <si>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</si>
  <si>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Amort./dép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</si>
  <si>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</si>
  <si>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</si>
  <si>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</si>
  <si>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</si>
  <si>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</si>
  <si>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</si>
  <si>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</si>
  <si>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</si>
  <si>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</si>
  <si>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</si>
  <si>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</si>
  <si>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</si>
  <si>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</si>
  <si>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</si>
  <si>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</si>
  <si>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</si>
  <si>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</si>
  <si>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</si>
  <si>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</si>
  <si>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</si>
  <si>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</si>
  <si>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</si>
  <si>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</si>
  <si>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</si>
  <si>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</si>
  <si>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</si>
  <si>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</si>
  <si>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</si>
  <si>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</si>
  <si>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</si>
  <si>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</si>
  <si>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</si>
  <si>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</si>
  <si>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</si>
  <si>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</si>
  <si>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</si>
  <si>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</si>
  <si>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</si>
  <si>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</si>
  <si>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</si>
  <si>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</si>
  <si>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</si>
  <si>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</si>
  <si>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</si>
  <si>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</si>
  <si>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</si>
  <si>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</si>
  <si>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</si>
  <si>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</si>
  <si>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</si>
  <si>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</si>
  <si>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</si>
  <si>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</si>
  <si>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</si>
  <si>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</si>
  <si>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</si>
  <si>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</si>
  <si>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</si>
  <si>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</si>
  <si>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</si>
  <si>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</si>
  <si>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</si>
  <si>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</si>
  <si>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</si>
  <si>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</si>
  <si>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</si>
  <si>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</si>
  <si>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</si>
  <si>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</si>
  <si>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</si>
  <si>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</si>
  <si>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</si>
  <si>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</si>
  <si>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</si>
  <si>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</si>
  <si>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</si>
  <si>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</si>
  <si>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</si>
  <si>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</si>
  <si>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</si>
  <si>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</si>
  <si>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</si>
  <si>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</si>
  <si>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</si>
  <si>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</si>
  <si>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</si>
  <si>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</si>
  <si>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</si>
  <si>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</si>
  <si>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</si>
  <si>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</si>
  <si>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</si>
  <si>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</si>
  <si>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</si>
  <si>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</si>
  <si>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</si>
  <si>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</si>
  <si>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</si>
  <si>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</si>
  <si>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</si>
  <si>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</si>
  <si>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</si>
  <si>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</si>
  <si>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</si>
  <si>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</si>
  <si>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</si>
  <si>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</si>
  <si>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Intérêts et charges assimilées</t>
  </si>
  <si>
    <t>Différences négatives de change</t>
  </si>
  <si>
    <t>Charges nettes sur cession de VMP</t>
  </si>
  <si>
    <t>Dotations amort, dépréciations et provisions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</si>
  <si>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</si>
  <si>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</si>
  <si>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</si>
  <si>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</si>
  <si>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</si>
  <si>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</si>
  <si>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Résultat de l'exercice (SC) : Bénéfice</t>
  </si>
  <si>
    <t>Résultat de l'exercice (SD) : Perte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</si>
  <si>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</si>
  <si>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</si>
  <si>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</si>
  <si>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</si>
  <si>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</si>
  <si>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Avances acomptes / immob incorporelles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</si>
  <si>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</si>
  <si>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</si>
  <si>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</si>
  <si>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</si>
  <si>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</si>
  <si>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</si>
  <si>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</si>
  <si>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</si>
  <si>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</si>
  <si>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</si>
  <si>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</si>
  <si>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</si>
  <si>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</si>
  <si>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</si>
  <si>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Capital souscrit appelé non versé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</si>
  <si>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</si>
  <si>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</si>
  <si>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</si>
  <si>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</si>
  <si>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</si>
  <si>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</si>
  <si>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</si>
  <si>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</si>
  <si>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</si>
  <si>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</si>
  <si>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</si>
  <si>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</si>
  <si>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</si>
  <si>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Autres dettes diverses</t>
  </si>
  <si>
    <t>Produits constatés d'avance</t>
  </si>
  <si>
    <t>Charges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</si>
  <si>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</si>
  <si>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</si>
  <si>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</si>
  <si>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</si>
  <si>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</si>
  <si>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</si>
  <si>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</si>
  <si>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</si>
  <si>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</si>
  <si>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</si>
  <si>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</si>
  <si>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</si>
  <si>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</si>
  <si>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Autres dettes diverses (2)</t>
  </si>
  <si>
    <t>Emprunts et dettes financières diverses (2)</t>
  </si>
  <si>
    <t>Prêts (3)</t>
  </si>
  <si>
    <t>Dettes (3)</t>
  </si>
  <si>
    <t>(3) dont à moins d'un an</t>
  </si>
  <si>
    <t>Autres achats et charges externes</t>
  </si>
  <si>
    <t>Résultat N</t>
  </si>
  <si>
    <t>Dividendes</t>
  </si>
  <si>
    <t>N +1</t>
  </si>
  <si>
    <t>Autres créances diverses</t>
  </si>
  <si>
    <t>(2) dont à moins d'un an</t>
  </si>
  <si>
    <t>Incorporation de réserves</t>
  </si>
  <si>
    <t>N+1</t>
  </si>
  <si>
    <t>Charges à répartir (4)</t>
  </si>
  <si>
    <t>(4) concernent des frais d'émission d'emprunts</t>
  </si>
  <si>
    <t>Entreprise LOUVOIS - Tableau de résultat au : 31/12/N+1</t>
  </si>
  <si>
    <t>Variations de stocks de Matières Premières et Approvisionnements</t>
  </si>
  <si>
    <t>Dotations aux amortissements, dépréciations et provisions</t>
  </si>
  <si>
    <t>Reprises sur dépréciations et provisions, transferts de charges financières</t>
  </si>
  <si>
    <t>Charges exceptionnelles / opérations de gestion</t>
  </si>
  <si>
    <t>Charges exceptionnelles / opérations en capital (2)</t>
  </si>
  <si>
    <t>Produits exceptionnels / opérations de gestion</t>
  </si>
  <si>
    <t>Produits exceptionnels / opérations en capital (2)</t>
  </si>
  <si>
    <t>Produits exceptionnels sur opérations de gestion</t>
  </si>
  <si>
    <t>Reprises sur dépréciations, provisions et transferts de charges exceptionnelles</t>
  </si>
  <si>
    <t xml:space="preserve">Reprises sur amortissements, dépréciations et </t>
  </si>
  <si>
    <t>(2) Cession d'immobilisations corporelles.</t>
  </si>
  <si>
    <t xml:space="preserve">      Valeur d'origine des immobilisations cédées :</t>
  </si>
  <si>
    <t>provisions et transferts de charges d'exploitation</t>
  </si>
  <si>
    <t>(1)</t>
  </si>
  <si>
    <t xml:space="preserve">(1) Dont transferts de charges : </t>
  </si>
  <si>
    <t>Charges de personnel :</t>
  </si>
  <si>
    <t>Dotations aux Amortissements Dépréciations et Provisions :</t>
  </si>
  <si>
    <t>Entreprise LOUVOIS - Bilan au 31/12/N</t>
  </si>
  <si>
    <t xml:space="preserve">Entreprise LOUVOIS - Bilan au 31/12/N + 1 </t>
  </si>
  <si>
    <t>Emprunts auprès éts de crédit (1) (3)</t>
  </si>
  <si>
    <t>Emprunts auprès éts de crédit (1)</t>
  </si>
  <si>
    <t xml:space="preserve">(1) Dont concours bancaires courants et </t>
  </si>
  <si>
    <t>soldes créditeurs de banques</t>
  </si>
  <si>
    <t>Net</t>
  </si>
  <si>
    <t>Brut</t>
  </si>
  <si>
    <t>Entreprise LOUVOIS - Tableau des Soldes Intermédiaires de Gestion au 31/12/N+1</t>
  </si>
  <si>
    <t>Soldes Intermédiaires de Gestion</t>
  </si>
  <si>
    <t>EBE (ou insuffisance)</t>
  </si>
  <si>
    <t>Produits des cessions d'éléments d'actif</t>
  </si>
  <si>
    <t>Valeur comptable des éléments d'actif cédés</t>
  </si>
  <si>
    <t xml:space="preserve"> +/- values sur cessions</t>
  </si>
  <si>
    <t>Quotes-parts de résultat sur opérations faites en commun</t>
  </si>
  <si>
    <t>Consommation de l'exercice en provenance de tiers</t>
  </si>
  <si>
    <t>Reprises sur provisions et transferts de charges</t>
  </si>
  <si>
    <t>Total</t>
  </si>
  <si>
    <t>Entreprise LOUVOIS - Capacité d'Autofinancement de l'exercice</t>
  </si>
  <si>
    <t xml:space="preserve"> Méthode soustractive</t>
  </si>
  <si>
    <t>Excédent (ou insuffisance) brut(e) d'exploitation</t>
  </si>
  <si>
    <t>Quote-parts de produits sur opérations en commun</t>
  </si>
  <si>
    <t>Produits de participations</t>
  </si>
  <si>
    <t>Autres valeurs mobilières</t>
  </si>
  <si>
    <t>Autres intérêts</t>
  </si>
  <si>
    <t>Transferts de charges financières</t>
  </si>
  <si>
    <t>Transferts de charges exceptionnels</t>
  </si>
  <si>
    <t>Total des produits encaissés</t>
  </si>
  <si>
    <t>Total des charges décaissées</t>
  </si>
  <si>
    <t>CAPACITE D'AUTOFINANCEMENT</t>
  </si>
  <si>
    <t>Intérêts et charges assimildes</t>
  </si>
  <si>
    <t>Charges nettes sur cessions de VMP</t>
  </si>
  <si>
    <t>Charges exceptionnelles sur opérations de gestion</t>
  </si>
  <si>
    <t>Autres produits exceptionnels sur autres opérations en capital</t>
  </si>
  <si>
    <t>Autres charges exceptionnelles sur autres opérations en capital</t>
  </si>
  <si>
    <t>Méthode additive</t>
  </si>
  <si>
    <t>Total des charges calculées</t>
  </si>
  <si>
    <t>Total des produits calculés</t>
  </si>
  <si>
    <t>Dotations d'exploitation</t>
  </si>
  <si>
    <t>Dotations financières</t>
  </si>
  <si>
    <t>Dotations exceptionnelles</t>
  </si>
  <si>
    <t>Valeurs comptables des éléments d'actif cédés</t>
  </si>
  <si>
    <t>Résultat</t>
  </si>
  <si>
    <t>Reprises d'exploitation</t>
  </si>
  <si>
    <t>Reprises financières</t>
  </si>
  <si>
    <t>Reprises exceptionnelles</t>
  </si>
  <si>
    <t>Quote-part des subventions d'investissement virée au résultat</t>
  </si>
  <si>
    <t>Entreprise LOUVOIS - Affectation du résultat de l'exercice N</t>
  </si>
  <si>
    <t>Entreprise LOUVOIS - Bilans fonctionnels</t>
  </si>
  <si>
    <t>Emplois stables</t>
  </si>
  <si>
    <t>Actif d'exploitation</t>
  </si>
  <si>
    <t>Actif hors exploitation</t>
  </si>
  <si>
    <t>Trésorerie active</t>
  </si>
  <si>
    <t>Totaux</t>
  </si>
  <si>
    <t>Ressources stables</t>
  </si>
  <si>
    <t>passif d'exploitation</t>
  </si>
  <si>
    <t>Passif hors exploitation</t>
  </si>
  <si>
    <t>Entreprise LOUVOIS - Analyse du bilan fonctionnel</t>
  </si>
  <si>
    <t xml:space="preserve">Variations </t>
  </si>
  <si>
    <t>FRNG = BFRE + BFRHE + TN</t>
  </si>
  <si>
    <t>Entreprise LOUVOIS - Tableau de financement (Partie I)</t>
  </si>
  <si>
    <t>Variation du fonds de roulement net global (ressource nette)</t>
  </si>
  <si>
    <t>Variation du fonds de roulement net global (emploi net)</t>
  </si>
  <si>
    <t>Exercice N+1</t>
  </si>
  <si>
    <t>Entreprise LOUVOIS - Tableau de financement (Partie II)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</si>
</sst>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6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4" fontId="14" fillId="33" borderId="13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right" wrapText="1"/>
    </xf>
    <xf numFmtId="0" fontId="8" fillId="0" borderId="1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4" fillId="10" borderId="14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14" fillId="33" borderId="16" xfId="0" applyFont="1" applyFill="1" applyBorder="1" applyAlignment="1">
      <alignment horizontal="right" wrapText="1"/>
    </xf>
    <xf numFmtId="4" fontId="14" fillId="33" borderId="11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" fontId="14" fillId="33" borderId="16" xfId="0" applyNumberFormat="1" applyFont="1" applyFill="1" applyBorder="1" applyAlignment="1">
      <alignment/>
    </xf>
    <xf numFmtId="0" fontId="14" fillId="8" borderId="13" xfId="0" applyFont="1" applyFill="1" applyBorder="1" applyAlignment="1">
      <alignment horizontal="center" wrapText="1"/>
    </xf>
    <xf numFmtId="4" fontId="14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4" fontId="14" fillId="0" borderId="12" xfId="0" applyNumberFormat="1" applyFont="1" applyBorder="1" applyAlignment="1">
      <alignment/>
    </xf>
    <xf numFmtId="0" fontId="2" fillId="33" borderId="17" xfId="0" applyFont="1" applyFill="1" applyBorder="1" applyAlignment="1">
      <alignment wrapText="1"/>
    </xf>
    <xf numFmtId="0" fontId="15" fillId="8" borderId="18" xfId="0" applyFont="1" applyFill="1" applyBorder="1" applyAlignment="1">
      <alignment horizontal="right" wrapText="1"/>
    </xf>
    <xf numFmtId="4" fontId="15" fillId="33" borderId="16" xfId="0" applyNumberFormat="1" applyFont="1" applyFill="1" applyBorder="1" applyAlignment="1">
      <alignment/>
    </xf>
    <xf numFmtId="0" fontId="15" fillId="8" borderId="19" xfId="0" applyFont="1" applyFill="1" applyBorder="1" applyAlignment="1">
      <alignment horizontal="right" wrapText="1"/>
    </xf>
    <xf numFmtId="4" fontId="16" fillId="13" borderId="11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14" fillId="34" borderId="13" xfId="0" applyFont="1" applyFill="1" applyBorder="1" applyAlignment="1">
      <alignment horizontal="right" wrapText="1"/>
    </xf>
    <xf numFmtId="0" fontId="14" fillId="34" borderId="15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wrapText="1"/>
    </xf>
    <xf numFmtId="4" fontId="5" fillId="0" borderId="21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right" wrapText="1"/>
    </xf>
    <xf numFmtId="4" fontId="14" fillId="0" borderId="2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2" fillId="0" borderId="11" xfId="0" applyNumberFormat="1" applyFont="1" applyBorder="1" applyAlignment="1">
      <alignment vertical="top"/>
    </xf>
    <xf numFmtId="4" fontId="14" fillId="33" borderId="22" xfId="0" applyNumberFormat="1" applyFont="1" applyFill="1" applyBorder="1" applyAlignment="1">
      <alignment horizontal="right"/>
    </xf>
    <xf numFmtId="0" fontId="14" fillId="8" borderId="27" xfId="0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4" fontId="2" fillId="33" borderId="16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5" fillId="10" borderId="13" xfId="0" applyFont="1" applyFill="1" applyBorder="1" applyAlignment="1">
      <alignment horizontal="center" vertical="center"/>
    </xf>
    <xf numFmtId="0" fontId="25" fillId="10" borderId="27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0" fontId="25" fillId="33" borderId="11" xfId="0" applyFont="1" applyFill="1" applyBorder="1" applyAlignment="1">
      <alignment/>
    </xf>
    <xf numFmtId="4" fontId="22" fillId="33" borderId="11" xfId="0" applyNumberFormat="1" applyFont="1" applyFill="1" applyBorder="1" applyAlignment="1">
      <alignment/>
    </xf>
    <xf numFmtId="4" fontId="22" fillId="33" borderId="11" xfId="0" applyNumberFormat="1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right"/>
    </xf>
    <xf numFmtId="0" fontId="21" fillId="33" borderId="11" xfId="0" applyFont="1" applyFill="1" applyBorder="1" applyAlignment="1">
      <alignment horizontal="right"/>
    </xf>
    <xf numFmtId="4" fontId="25" fillId="0" borderId="11" xfId="0" applyNumberFormat="1" applyFont="1" applyBorder="1" applyAlignment="1">
      <alignment/>
    </xf>
    <xf numFmtId="0" fontId="22" fillId="33" borderId="11" xfId="0" applyFont="1" applyFill="1" applyBorder="1" applyAlignment="1">
      <alignment horizontal="right"/>
    </xf>
    <xf numFmtId="4" fontId="22" fillId="0" borderId="16" xfId="0" applyNumberFormat="1" applyFont="1" applyBorder="1" applyAlignment="1">
      <alignment/>
    </xf>
    <xf numFmtId="0" fontId="25" fillId="8" borderId="13" xfId="0" applyFont="1" applyFill="1" applyBorder="1" applyAlignment="1">
      <alignment horizontal="right"/>
    </xf>
    <xf numFmtId="4" fontId="25" fillId="33" borderId="13" xfId="0" applyNumberFormat="1" applyFont="1" applyFill="1" applyBorder="1" applyAlignment="1">
      <alignment horizontal="right"/>
    </xf>
    <xf numFmtId="4" fontId="22" fillId="0" borderId="23" xfId="0" applyNumberFormat="1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right"/>
    </xf>
    <xf numFmtId="0" fontId="22" fillId="33" borderId="11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33" borderId="1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5" fillId="34" borderId="12" xfId="0" applyFont="1" applyFill="1" applyBorder="1" applyAlignment="1">
      <alignment horizontal="left"/>
    </xf>
    <xf numFmtId="4" fontId="25" fillId="33" borderId="12" xfId="0" applyNumberFormat="1" applyFont="1" applyFill="1" applyBorder="1" applyAlignment="1">
      <alignment horizontal="right"/>
    </xf>
    <xf numFmtId="0" fontId="25" fillId="34" borderId="12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4" fontId="22" fillId="0" borderId="21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4" fontId="22" fillId="0" borderId="22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23" xfId="0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5" fillId="33" borderId="2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4" fontId="25" fillId="0" borderId="16" xfId="0" applyNumberFormat="1" applyFont="1" applyBorder="1" applyAlignment="1">
      <alignment/>
    </xf>
    <xf numFmtId="4" fontId="22" fillId="0" borderId="12" xfId="0" applyNumberFormat="1" applyFont="1" applyBorder="1" applyAlignment="1">
      <alignment/>
    </xf>
    <xf numFmtId="0" fontId="22" fillId="33" borderId="16" xfId="0" applyFont="1" applyFill="1" applyBorder="1" applyAlignment="1">
      <alignment/>
    </xf>
    <xf numFmtId="4" fontId="22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Border="1" applyAlignment="1">
      <alignment/>
    </xf>
    <xf numFmtId="4" fontId="22" fillId="33" borderId="16" xfId="0" applyNumberFormat="1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2" fontId="22" fillId="0" borderId="25" xfId="0" applyNumberFormat="1" applyFont="1" applyFill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10" fillId="0" borderId="24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0" fillId="34" borderId="13" xfId="0" applyFont="1" applyFill="1" applyBorder="1" applyAlignment="1">
      <alignment horizontal="left"/>
    </xf>
    <xf numFmtId="0" fontId="8" fillId="0" borderId="14" xfId="0" applyFont="1" applyBorder="1" applyAlignment="1">
      <alignment wrapText="1"/>
    </xf>
    <xf numFmtId="0" fontId="10" fillId="34" borderId="30" xfId="0" applyFont="1" applyFill="1" applyBorder="1" applyAlignment="1">
      <alignment/>
    </xf>
    <xf numFmtId="4" fontId="11" fillId="13" borderId="13" xfId="0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4" fontId="18" fillId="0" borderId="12" xfId="0" applyNumberFormat="1" applyFont="1" applyBorder="1" applyAlignment="1">
      <alignment/>
    </xf>
    <xf numFmtId="0" fontId="18" fillId="0" borderId="28" xfId="0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3" fillId="10" borderId="14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18" fillId="0" borderId="31" xfId="0" applyFont="1" applyBorder="1" applyAlignment="1">
      <alignment/>
    </xf>
    <xf numFmtId="4" fontId="18" fillId="0" borderId="16" xfId="0" applyNumberFormat="1" applyFont="1" applyBorder="1" applyAlignment="1">
      <alignment/>
    </xf>
    <xf numFmtId="0" fontId="3" fillId="8" borderId="32" xfId="0" applyFont="1" applyFill="1" applyBorder="1" applyAlignment="1">
      <alignment horizontal="right"/>
    </xf>
    <xf numFmtId="4" fontId="3" fillId="8" borderId="13" xfId="0" applyNumberFormat="1" applyFont="1" applyFill="1" applyBorder="1" applyAlignment="1">
      <alignment/>
    </xf>
    <xf numFmtId="0" fontId="3" fillId="8" borderId="30" xfId="0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8" borderId="27" xfId="0" applyNumberFormat="1" applyFont="1" applyFill="1" applyBorder="1" applyAlignment="1">
      <alignment/>
    </xf>
    <xf numFmtId="0" fontId="3" fillId="34" borderId="33" xfId="0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26" xfId="0" applyNumberFormat="1" applyFont="1" applyBorder="1" applyAlignment="1">
      <alignment/>
    </xf>
    <xf numFmtId="0" fontId="3" fillId="8" borderId="13" xfId="0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" fillId="10" borderId="20" xfId="0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2" fontId="3" fillId="10" borderId="12" xfId="0" applyNumberFormat="1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34" borderId="14" xfId="0" applyFont="1" applyFill="1" applyBorder="1" applyAlignment="1">
      <alignment vertical="center"/>
    </xf>
    <xf numFmtId="4" fontId="60" fillId="2" borderId="13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3" fillId="8" borderId="14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left" vertical="center"/>
    </xf>
    <xf numFmtId="4" fontId="18" fillId="33" borderId="12" xfId="0" applyNumberFormat="1" applyFont="1" applyFill="1" applyBorder="1" applyAlignment="1">
      <alignment horizontal="righ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4" fontId="18" fillId="33" borderId="11" xfId="0" applyNumberFormat="1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24" xfId="0" applyFont="1" applyFill="1" applyBorder="1" applyAlignment="1">
      <alignment horizontal="left" vertical="center"/>
    </xf>
    <xf numFmtId="4" fontId="18" fillId="33" borderId="16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horizontal="left" vertical="center"/>
    </xf>
    <xf numFmtId="4" fontId="3" fillId="8" borderId="13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6" fillId="1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33" borderId="21" xfId="0" applyFont="1" applyFill="1" applyBorder="1" applyAlignment="1">
      <alignment vertical="center"/>
    </xf>
    <xf numFmtId="4" fontId="18" fillId="33" borderId="12" xfId="0" applyNumberFormat="1" applyFont="1" applyFill="1" applyBorder="1" applyAlignment="1">
      <alignment vertical="center"/>
    </xf>
    <xf numFmtId="4" fontId="18" fillId="33" borderId="21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4" fontId="18" fillId="33" borderId="11" xfId="0" applyNumberFormat="1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4" fontId="27" fillId="33" borderId="11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18" fillId="33" borderId="25" xfId="0" applyFont="1" applyFill="1" applyBorder="1" applyAlignment="1">
      <alignment vertical="center"/>
    </xf>
    <xf numFmtId="4" fontId="18" fillId="33" borderId="16" xfId="0" applyNumberFormat="1" applyFont="1" applyFill="1" applyBorder="1" applyAlignment="1">
      <alignment vertical="center"/>
    </xf>
    <xf numFmtId="4" fontId="18" fillId="33" borderId="25" xfId="0" applyNumberFormat="1" applyFont="1" applyFill="1" applyBorder="1" applyAlignment="1">
      <alignment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4" fontId="26" fillId="8" borderId="13" xfId="0" applyNumberFormat="1" applyFont="1" applyFill="1" applyBorder="1" applyAlignment="1">
      <alignment vertical="center"/>
    </xf>
    <xf numFmtId="4" fontId="26" fillId="2" borderId="16" xfId="0" applyNumberFormat="1" applyFont="1" applyFill="1" applyBorder="1" applyAlignment="1">
      <alignment vertical="center"/>
    </xf>
    <xf numFmtId="4" fontId="26" fillId="2" borderId="25" xfId="0" applyNumberFormat="1" applyFont="1" applyFill="1" applyBorder="1" applyAlignment="1">
      <alignment vertical="center"/>
    </xf>
    <xf numFmtId="4" fontId="26" fillId="2" borderId="13" xfId="0" applyNumberFormat="1" applyFont="1" applyFill="1" applyBorder="1" applyAlignment="1">
      <alignment vertical="center"/>
    </xf>
    <xf numFmtId="4" fontId="26" fillId="2" borderId="15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right"/>
    </xf>
    <xf numFmtId="4" fontId="26" fillId="0" borderId="0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 vertical="center"/>
    </xf>
    <xf numFmtId="4" fontId="60" fillId="8" borderId="16" xfId="0" applyNumberFormat="1" applyFont="1" applyFill="1" applyBorder="1" applyAlignment="1">
      <alignment vertical="center"/>
    </xf>
    <xf numFmtId="4" fontId="60" fillId="0" borderId="23" xfId="0" applyNumberFormat="1" applyFont="1" applyFill="1" applyBorder="1" applyAlignment="1">
      <alignment vertical="center"/>
    </xf>
    <xf numFmtId="4" fontId="60" fillId="0" borderId="26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3" xfId="0" applyFont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 wrapText="1"/>
    </xf>
    <xf numFmtId="4" fontId="6" fillId="13" borderId="1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2" fontId="3" fillId="0" borderId="13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10" borderId="36" xfId="0" applyFont="1" applyFill="1" applyBorder="1" applyAlignment="1">
      <alignment horizontal="center"/>
    </xf>
    <xf numFmtId="1" fontId="3" fillId="10" borderId="37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4" fontId="3" fillId="0" borderId="27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4" fontId="6" fillId="8" borderId="27" xfId="0" applyNumberFormat="1" applyFont="1" applyFill="1" applyBorder="1" applyAlignment="1">
      <alignment/>
    </xf>
    <xf numFmtId="4" fontId="26" fillId="8" borderId="27" xfId="0" applyNumberFormat="1" applyFont="1" applyFill="1" applyBorder="1" applyAlignment="1">
      <alignment/>
    </xf>
    <xf numFmtId="0" fontId="23" fillId="9" borderId="14" xfId="0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9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9" fillId="9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61" fillId="9" borderId="14" xfId="0" applyFont="1" applyFill="1" applyBorder="1" applyAlignment="1">
      <alignment horizontal="center"/>
    </xf>
    <xf numFmtId="0" fontId="61" fillId="9" borderId="15" xfId="0" applyFont="1" applyFill="1" applyBorder="1" applyAlignment="1">
      <alignment horizontal="center"/>
    </xf>
    <xf numFmtId="0" fontId="61" fillId="9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1" fillId="9" borderId="14" xfId="0" applyFont="1" applyFill="1" applyBorder="1" applyAlignment="1">
      <alignment vertical="center"/>
    </xf>
    <xf numFmtId="0" fontId="61" fillId="9" borderId="15" xfId="0" applyFont="1" applyFill="1" applyBorder="1" applyAlignment="1">
      <alignment vertical="center"/>
    </xf>
    <xf numFmtId="0" fontId="61" fillId="9" borderId="2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9" borderId="27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10" borderId="38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10" borderId="2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showGridLines="0" zoomScalePageLayoutView="0" workbookViewId="0" topLeftCell="A29">
      <selection activeCell="B2" sqref="B2:G2"/>
    </sheetView>
  </sheetViews>
  <sheetFormatPr defaultColWidth="11.421875" defaultRowHeight="13.5" customHeight="1"/>
  <cols>
    <col min="1" max="1" width="3.7109375" style="78" customWidth="1"/>
    <col min="2" max="2" width="30.7109375" style="78" customWidth="1"/>
    <col min="3" max="5" width="9.7109375" style="78" customWidth="1"/>
    <col min="6" max="6" width="30.7109375" style="78" customWidth="1"/>
    <col min="7" max="7" width="9.7109375" style="78" customWidth="1"/>
    <col min="8" max="16384" width="11.421875" style="78" customWidth="1"/>
  </cols>
  <sheetData>
    <row r="1" spans="2:3" ht="13.5" customHeight="1" thickBot="1">
      <c r="B1" s="76"/>
      <c r="C1" s="77"/>
    </row>
    <row r="2" spans="2:7" ht="13.5" customHeight="1" thickBot="1">
      <c r="B2" s="293" t="s">
        <v>256</v>
      </c>
      <c r="C2" s="294"/>
      <c r="D2" s="294"/>
      <c r="E2" s="294"/>
      <c r="F2" s="294"/>
      <c r="G2" s="295"/>
    </row>
    <row r="3" spans="2:7" ht="13.5" customHeight="1" thickBot="1">
      <c r="B3" s="79" t="s">
        <v>52</v>
      </c>
      <c r="C3" s="80" t="s">
        <v>263</v>
      </c>
      <c r="D3" s="80" t="s">
        <v>53</v>
      </c>
      <c r="E3" s="80" t="s">
        <v>262</v>
      </c>
      <c r="F3" s="79" t="s">
        <v>54</v>
      </c>
      <c r="G3" s="80" t="s">
        <v>25</v>
      </c>
    </row>
    <row r="4" spans="2:7" ht="13.5" customHeight="1">
      <c r="B4" s="81" t="s">
        <v>56</v>
      </c>
      <c r="C4" s="82"/>
      <c r="D4" s="82"/>
      <c r="E4" s="82"/>
      <c r="F4" s="81" t="s">
        <v>57</v>
      </c>
      <c r="G4" s="82"/>
    </row>
    <row r="5" spans="2:7" ht="13.5" customHeight="1">
      <c r="B5" s="83" t="s">
        <v>81</v>
      </c>
      <c r="C5" s="84"/>
      <c r="D5" s="84"/>
      <c r="E5" s="85"/>
      <c r="F5" s="86"/>
      <c r="G5" s="84"/>
    </row>
    <row r="6" spans="2:7" ht="13.5" customHeight="1">
      <c r="B6" s="84" t="s">
        <v>173</v>
      </c>
      <c r="C6" s="87">
        <v>600000</v>
      </c>
      <c r="D6" s="87">
        <v>450000</v>
      </c>
      <c r="E6" s="87">
        <f>C6-D6</f>
        <v>150000</v>
      </c>
      <c r="F6" s="84" t="s">
        <v>58</v>
      </c>
      <c r="G6" s="87">
        <v>2200000</v>
      </c>
    </row>
    <row r="7" spans="2:7" ht="13.5" customHeight="1">
      <c r="B7" s="84" t="s">
        <v>174</v>
      </c>
      <c r="C7" s="87"/>
      <c r="D7" s="87"/>
      <c r="E7" s="87"/>
      <c r="F7" s="84" t="s">
        <v>60</v>
      </c>
      <c r="G7" s="87"/>
    </row>
    <row r="8" spans="2:7" ht="13.5" customHeight="1">
      <c r="B8" s="84" t="s">
        <v>179</v>
      </c>
      <c r="C8" s="88">
        <v>200000</v>
      </c>
      <c r="D8" s="88">
        <v>90000</v>
      </c>
      <c r="E8" s="87">
        <f>C8-D8</f>
        <v>110000</v>
      </c>
      <c r="F8" s="89"/>
      <c r="G8" s="88"/>
    </row>
    <row r="9" spans="2:7" ht="13.5" customHeight="1">
      <c r="B9" s="84" t="s">
        <v>175</v>
      </c>
      <c r="C9" s="88"/>
      <c r="D9" s="88"/>
      <c r="E9" s="87"/>
      <c r="F9" s="84" t="s">
        <v>62</v>
      </c>
      <c r="G9" s="88">
        <v>200000</v>
      </c>
    </row>
    <row r="10" spans="2:7" ht="13.5" customHeight="1">
      <c r="B10" s="84" t="s">
        <v>176</v>
      </c>
      <c r="C10" s="88"/>
      <c r="D10" s="88"/>
      <c r="E10" s="87"/>
      <c r="F10" s="84" t="s">
        <v>64</v>
      </c>
      <c r="G10" s="88"/>
    </row>
    <row r="11" spans="2:7" ht="13.5" customHeight="1">
      <c r="B11" s="84" t="s">
        <v>177</v>
      </c>
      <c r="C11" s="88"/>
      <c r="D11" s="88"/>
      <c r="E11" s="87"/>
      <c r="F11" s="84" t="s">
        <v>196</v>
      </c>
      <c r="G11" s="88"/>
    </row>
    <row r="12" spans="2:7" ht="13.5" customHeight="1">
      <c r="B12" s="84" t="s">
        <v>178</v>
      </c>
      <c r="C12" s="88"/>
      <c r="D12" s="88"/>
      <c r="E12" s="87"/>
      <c r="F12" s="84" t="s">
        <v>197</v>
      </c>
      <c r="G12" s="88">
        <v>210000</v>
      </c>
    </row>
    <row r="13" spans="2:7" ht="13.5" customHeight="1">
      <c r="B13" s="83" t="s">
        <v>131</v>
      </c>
      <c r="C13" s="88"/>
      <c r="D13" s="88"/>
      <c r="E13" s="87"/>
      <c r="F13" s="84" t="s">
        <v>66</v>
      </c>
      <c r="G13" s="88">
        <v>8000</v>
      </c>
    </row>
    <row r="14" spans="2:7" ht="13.5" customHeight="1">
      <c r="B14" s="84" t="s">
        <v>59</v>
      </c>
      <c r="C14" s="88">
        <v>1000000</v>
      </c>
      <c r="D14" s="88"/>
      <c r="E14" s="87">
        <f>C14-D14</f>
        <v>1000000</v>
      </c>
      <c r="F14" s="84"/>
      <c r="G14" s="88"/>
    </row>
    <row r="15" spans="2:7" ht="13.5" customHeight="1">
      <c r="B15" s="84" t="s">
        <v>61</v>
      </c>
      <c r="C15" s="88">
        <v>1800000</v>
      </c>
      <c r="D15" s="88">
        <v>1200000</v>
      </c>
      <c r="E15" s="87">
        <f>C15-D15</f>
        <v>600000</v>
      </c>
      <c r="F15" s="90" t="s">
        <v>212</v>
      </c>
      <c r="G15" s="91">
        <f>E46-SUM(G6:G13)-G17-G18-G27-G45</f>
        <v>598000</v>
      </c>
    </row>
    <row r="16" spans="2:7" ht="13.5" customHeight="1">
      <c r="B16" s="84" t="s">
        <v>63</v>
      </c>
      <c r="C16" s="88">
        <v>950000</v>
      </c>
      <c r="D16" s="88">
        <v>640000</v>
      </c>
      <c r="E16" s="87">
        <f>C16-D16</f>
        <v>310000</v>
      </c>
      <c r="F16" s="89"/>
      <c r="G16" s="92"/>
    </row>
    <row r="17" spans="2:7" ht="13.5" customHeight="1">
      <c r="B17" s="84" t="s">
        <v>65</v>
      </c>
      <c r="C17" s="88">
        <v>170000</v>
      </c>
      <c r="D17" s="88">
        <v>110000</v>
      </c>
      <c r="E17" s="87">
        <f>C17-D17</f>
        <v>60000</v>
      </c>
      <c r="F17" s="84" t="s">
        <v>198</v>
      </c>
      <c r="G17" s="88">
        <v>120000</v>
      </c>
    </row>
    <row r="18" spans="2:7" ht="13.5" customHeight="1">
      <c r="B18" s="84" t="s">
        <v>180</v>
      </c>
      <c r="C18" s="88"/>
      <c r="D18" s="88"/>
      <c r="E18" s="87"/>
      <c r="F18" s="84" t="s">
        <v>80</v>
      </c>
      <c r="G18" s="88">
        <v>10000</v>
      </c>
    </row>
    <row r="19" spans="2:7" ht="13.5" customHeight="1">
      <c r="B19" s="84" t="s">
        <v>181</v>
      </c>
      <c r="C19" s="88"/>
      <c r="D19" s="88"/>
      <c r="E19" s="87"/>
      <c r="F19" s="84"/>
      <c r="G19" s="88"/>
    </row>
    <row r="20" spans="2:7" ht="13.5" customHeight="1">
      <c r="B20" s="83" t="s">
        <v>133</v>
      </c>
      <c r="C20" s="88"/>
      <c r="D20" s="88"/>
      <c r="E20" s="87"/>
      <c r="F20" s="84"/>
      <c r="G20" s="88"/>
    </row>
    <row r="21" spans="2:7" ht="13.5" customHeight="1">
      <c r="B21" s="84" t="s">
        <v>185</v>
      </c>
      <c r="C21" s="88">
        <v>120000</v>
      </c>
      <c r="D21" s="88">
        <v>10000</v>
      </c>
      <c r="E21" s="87">
        <f>C21-D21</f>
        <v>110000</v>
      </c>
      <c r="F21" s="93" t="s">
        <v>211</v>
      </c>
      <c r="G21" s="94">
        <f>SUM(G6:G13)+G17+G18</f>
        <v>2748000</v>
      </c>
    </row>
    <row r="22" spans="2:7" ht="13.5" customHeight="1">
      <c r="B22" s="84" t="s">
        <v>186</v>
      </c>
      <c r="C22" s="88"/>
      <c r="D22" s="88"/>
      <c r="E22" s="87"/>
      <c r="F22" s="95"/>
      <c r="G22" s="94"/>
    </row>
    <row r="23" spans="2:7" ht="13.5" customHeight="1" thickBot="1">
      <c r="B23" s="84" t="s">
        <v>183</v>
      </c>
      <c r="C23" s="88"/>
      <c r="D23" s="88"/>
      <c r="E23" s="87"/>
      <c r="F23" s="89"/>
      <c r="G23" s="96"/>
    </row>
    <row r="24" spans="2:7" ht="13.5" customHeight="1" thickBot="1">
      <c r="B24" s="84" t="s">
        <v>182</v>
      </c>
      <c r="C24" s="88"/>
      <c r="D24" s="88"/>
      <c r="E24" s="87"/>
      <c r="F24" s="97" t="s">
        <v>40</v>
      </c>
      <c r="G24" s="98">
        <f>G21+G15</f>
        <v>3346000</v>
      </c>
    </row>
    <row r="25" spans="2:7" ht="13.5" customHeight="1">
      <c r="B25" s="84" t="s">
        <v>67</v>
      </c>
      <c r="C25" s="88">
        <v>40000</v>
      </c>
      <c r="D25" s="88"/>
      <c r="E25" s="87">
        <f>C25-D25</f>
        <v>40000</v>
      </c>
      <c r="F25" s="84" t="s">
        <v>199</v>
      </c>
      <c r="G25" s="99">
        <v>82000</v>
      </c>
    </row>
    <row r="26" spans="2:7" ht="13.5" customHeight="1" thickBot="1">
      <c r="B26" s="84" t="s">
        <v>184</v>
      </c>
      <c r="C26" s="88">
        <v>8000</v>
      </c>
      <c r="D26" s="88"/>
      <c r="E26" s="87">
        <f>C26-D26</f>
        <v>8000</v>
      </c>
      <c r="F26" s="84" t="s">
        <v>200</v>
      </c>
      <c r="G26" s="99">
        <v>113000</v>
      </c>
    </row>
    <row r="27" spans="2:7" ht="13.5" customHeight="1" thickBot="1">
      <c r="B27" s="97" t="s">
        <v>40</v>
      </c>
      <c r="C27" s="98">
        <f>SUM(C5:C26)</f>
        <v>4888000</v>
      </c>
      <c r="D27" s="98">
        <f>SUM(D5:D26)</f>
        <v>2500000</v>
      </c>
      <c r="E27" s="98">
        <f>SUM(E5:E26)</f>
        <v>2388000</v>
      </c>
      <c r="F27" s="97" t="s">
        <v>41</v>
      </c>
      <c r="G27" s="98">
        <f>G25+G26</f>
        <v>195000</v>
      </c>
    </row>
    <row r="28" spans="2:7" ht="13.5" customHeight="1">
      <c r="B28" s="81" t="s">
        <v>68</v>
      </c>
      <c r="C28" s="88"/>
      <c r="D28" s="88"/>
      <c r="E28" s="88"/>
      <c r="F28" s="100" t="s">
        <v>226</v>
      </c>
      <c r="G28" s="99"/>
    </row>
    <row r="29" spans="2:7" ht="13.5" customHeight="1">
      <c r="B29" s="101" t="s">
        <v>192</v>
      </c>
      <c r="C29" s="88"/>
      <c r="D29" s="88"/>
      <c r="E29" s="88"/>
      <c r="F29" s="102"/>
      <c r="G29" s="88"/>
    </row>
    <row r="30" spans="2:7" ht="13.5" customHeight="1">
      <c r="B30" s="103" t="s">
        <v>187</v>
      </c>
      <c r="C30" s="88">
        <v>925000</v>
      </c>
      <c r="D30" s="88">
        <v>32000</v>
      </c>
      <c r="E30" s="88">
        <f>C30-D30</f>
        <v>893000</v>
      </c>
      <c r="F30" s="104" t="s">
        <v>201</v>
      </c>
      <c r="G30" s="88"/>
    </row>
    <row r="31" spans="2:7" ht="13.5" customHeight="1">
      <c r="B31" s="103" t="s">
        <v>188</v>
      </c>
      <c r="C31" s="88"/>
      <c r="D31" s="88"/>
      <c r="E31" s="88"/>
      <c r="F31" s="104" t="s">
        <v>202</v>
      </c>
      <c r="G31" s="88"/>
    </row>
    <row r="32" spans="2:7" ht="13.5" customHeight="1">
      <c r="B32" s="103" t="s">
        <v>189</v>
      </c>
      <c r="C32" s="88">
        <v>456000</v>
      </c>
      <c r="D32" s="88">
        <v>30000</v>
      </c>
      <c r="E32" s="88">
        <f>C32-D32</f>
        <v>426000</v>
      </c>
      <c r="F32" s="84" t="s">
        <v>258</v>
      </c>
      <c r="G32" s="88">
        <v>226000</v>
      </c>
    </row>
    <row r="33" spans="2:7" ht="13.5" customHeight="1">
      <c r="B33" s="84" t="s">
        <v>69</v>
      </c>
      <c r="C33" s="88"/>
      <c r="D33" s="88"/>
      <c r="E33" s="88"/>
      <c r="F33" s="104" t="s">
        <v>224</v>
      </c>
      <c r="G33" s="88">
        <v>186000</v>
      </c>
    </row>
    <row r="34" spans="2:7" ht="13.5" customHeight="1">
      <c r="B34" s="83" t="s">
        <v>190</v>
      </c>
      <c r="C34" s="88"/>
      <c r="D34" s="88"/>
      <c r="E34" s="88"/>
      <c r="F34" s="83" t="s">
        <v>72</v>
      </c>
      <c r="G34" s="88"/>
    </row>
    <row r="35" spans="2:7" ht="13.5" customHeight="1">
      <c r="B35" s="83" t="s">
        <v>191</v>
      </c>
      <c r="C35" s="88"/>
      <c r="D35" s="88"/>
      <c r="E35" s="88"/>
      <c r="F35" s="83" t="s">
        <v>203</v>
      </c>
      <c r="G35" s="88"/>
    </row>
    <row r="36" spans="2:7" ht="13.5" customHeight="1">
      <c r="B36" s="84" t="s">
        <v>71</v>
      </c>
      <c r="C36" s="88">
        <v>588000</v>
      </c>
      <c r="D36" s="88">
        <v>51000</v>
      </c>
      <c r="E36" s="88">
        <f>C36-D36</f>
        <v>537000</v>
      </c>
      <c r="F36" s="84" t="s">
        <v>74</v>
      </c>
      <c r="G36" s="88">
        <v>164000</v>
      </c>
    </row>
    <row r="37" spans="2:7" ht="13.5" customHeight="1">
      <c r="B37" s="84" t="s">
        <v>73</v>
      </c>
      <c r="C37" s="88"/>
      <c r="D37" s="88"/>
      <c r="E37" s="88"/>
      <c r="F37" s="105" t="s">
        <v>76</v>
      </c>
      <c r="G37" s="88">
        <v>122000</v>
      </c>
    </row>
    <row r="38" spans="2:7" ht="13.5" customHeight="1">
      <c r="B38" s="84" t="s">
        <v>193</v>
      </c>
      <c r="C38" s="88"/>
      <c r="D38" s="88"/>
      <c r="E38" s="88"/>
      <c r="F38" s="105" t="s">
        <v>204</v>
      </c>
      <c r="G38" s="88"/>
    </row>
    <row r="39" spans="2:7" ht="13.5" customHeight="1">
      <c r="B39" s="84" t="s">
        <v>232</v>
      </c>
      <c r="C39" s="88">
        <v>94000</v>
      </c>
      <c r="D39" s="88"/>
      <c r="E39" s="88">
        <f>C39-D39</f>
        <v>94000</v>
      </c>
      <c r="F39" s="106" t="s">
        <v>205</v>
      </c>
      <c r="G39" s="88"/>
    </row>
    <row r="40" spans="2:7" ht="13.5" customHeight="1">
      <c r="B40" s="84" t="s">
        <v>77</v>
      </c>
      <c r="C40" s="88">
        <v>118500</v>
      </c>
      <c r="D40" s="88"/>
      <c r="E40" s="88">
        <f>C40-D40</f>
        <v>118500</v>
      </c>
      <c r="F40" s="105" t="s">
        <v>78</v>
      </c>
      <c r="G40" s="88"/>
    </row>
    <row r="41" spans="2:7" ht="13.5" customHeight="1">
      <c r="B41" s="84" t="s">
        <v>209</v>
      </c>
      <c r="C41" s="88"/>
      <c r="D41" s="88"/>
      <c r="E41" s="88"/>
      <c r="F41" s="105" t="s">
        <v>206</v>
      </c>
      <c r="G41" s="88"/>
    </row>
    <row r="42" spans="2:7" ht="13.5" customHeight="1">
      <c r="B42" s="84" t="s">
        <v>236</v>
      </c>
      <c r="C42" s="88">
        <v>94500</v>
      </c>
      <c r="D42" s="88"/>
      <c r="E42" s="88">
        <f>C42-D42</f>
        <v>94500</v>
      </c>
      <c r="F42" s="107" t="s">
        <v>223</v>
      </c>
      <c r="G42" s="88">
        <v>312000</v>
      </c>
    </row>
    <row r="43" spans="2:7" ht="13.5" customHeight="1">
      <c r="B43" s="84" t="s">
        <v>194</v>
      </c>
      <c r="C43" s="88"/>
      <c r="D43" s="88"/>
      <c r="E43" s="88"/>
      <c r="F43" s="105" t="s">
        <v>208</v>
      </c>
      <c r="G43" s="88"/>
    </row>
    <row r="44" spans="2:7" ht="13.5" customHeight="1" thickBot="1">
      <c r="B44" s="84" t="s">
        <v>195</v>
      </c>
      <c r="C44" s="88"/>
      <c r="D44" s="88"/>
      <c r="E44" s="88"/>
      <c r="F44" s="84" t="s">
        <v>210</v>
      </c>
      <c r="G44" s="88"/>
    </row>
    <row r="45" spans="2:7" ht="13.5" customHeight="1" thickBot="1">
      <c r="B45" s="97" t="s">
        <v>41</v>
      </c>
      <c r="C45" s="98">
        <f>SUM(C30:C44)</f>
        <v>2276000</v>
      </c>
      <c r="D45" s="98">
        <f>SUM(D30:D44)</f>
        <v>113000</v>
      </c>
      <c r="E45" s="98">
        <f>SUM(E30:E44)</f>
        <v>2163000</v>
      </c>
      <c r="F45" s="97" t="s">
        <v>42</v>
      </c>
      <c r="G45" s="98">
        <f>SUM(G32:G44)</f>
        <v>1010000</v>
      </c>
    </row>
    <row r="46" spans="2:7" ht="13.5" customHeight="1" thickBot="1">
      <c r="B46" s="108" t="s">
        <v>79</v>
      </c>
      <c r="C46" s="109">
        <f>C27+C45</f>
        <v>7164000</v>
      </c>
      <c r="D46" s="109">
        <f>D27+D45</f>
        <v>2613000</v>
      </c>
      <c r="E46" s="109">
        <f>E27+E45</f>
        <v>4551000</v>
      </c>
      <c r="F46" s="110" t="s">
        <v>79</v>
      </c>
      <c r="G46" s="109">
        <f>E46</f>
        <v>4551000</v>
      </c>
    </row>
    <row r="47" spans="2:7" ht="13.5" customHeight="1">
      <c r="B47" s="111" t="s">
        <v>237</v>
      </c>
      <c r="C47" s="112"/>
      <c r="D47" s="113"/>
      <c r="E47" s="113"/>
      <c r="F47" s="114" t="s">
        <v>260</v>
      </c>
      <c r="G47" s="115"/>
    </row>
    <row r="48" spans="2:7" ht="13.5" customHeight="1">
      <c r="B48" s="116" t="s">
        <v>233</v>
      </c>
      <c r="C48" s="117">
        <v>72000</v>
      </c>
      <c r="D48" s="118"/>
      <c r="E48" s="118"/>
      <c r="F48" s="119" t="s">
        <v>261</v>
      </c>
      <c r="G48" s="120">
        <v>15000</v>
      </c>
    </row>
    <row r="49" spans="2:7" ht="13.5" customHeight="1" thickBot="1">
      <c r="B49" s="121" t="s">
        <v>227</v>
      </c>
      <c r="C49" s="122">
        <v>100000</v>
      </c>
      <c r="D49" s="123"/>
      <c r="E49" s="123"/>
      <c r="F49" s="123"/>
      <c r="G49" s="124"/>
    </row>
  </sheetData>
  <sheetProtection/>
  <mergeCells count="1">
    <mergeCell ref="B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34"/>
  <sheetViews>
    <sheetView showGridLines="0" tabSelected="1" zoomScalePageLayoutView="0" workbookViewId="0" topLeftCell="A13">
      <selection activeCell="B6" sqref="B6:B14"/>
    </sheetView>
  </sheetViews>
  <sheetFormatPr defaultColWidth="11.421875" defaultRowHeight="12.75"/>
  <cols>
    <col min="1" max="1" width="3.7109375" style="72" customWidth="1"/>
    <col min="2" max="2" width="48.7109375" style="72" customWidth="1"/>
    <col min="3" max="5" width="13.7109375" style="72" customWidth="1"/>
    <col min="6" max="16384" width="11.421875" style="72" customWidth="1"/>
  </cols>
  <sheetData>
    <row r="1" spans="2:3" ht="16.5" thickBot="1">
      <c r="B1" s="70"/>
      <c r="C1" s="71"/>
    </row>
    <row r="2" spans="2:5" ht="16.5" thickBot="1">
      <c r="B2" s="327" t="s">
        <v>320</v>
      </c>
      <c r="C2" s="328"/>
      <c r="D2" s="328"/>
      <c r="E2" s="329"/>
    </row>
    <row r="3" spans="2:5" ht="16.5" thickBot="1">
      <c r="B3" s="340" t="s">
        <v>101</v>
      </c>
      <c r="C3" s="336" t="s">
        <v>319</v>
      </c>
      <c r="D3" s="336"/>
      <c r="E3" s="337"/>
    </row>
    <row r="4" spans="2:5" ht="15.75">
      <c r="B4" s="341"/>
      <c r="C4" s="278" t="s">
        <v>102</v>
      </c>
      <c r="D4" s="278" t="s">
        <v>103</v>
      </c>
      <c r="E4" s="278" t="s">
        <v>104</v>
      </c>
    </row>
    <row r="5" spans="2:5" ht="16.5" thickBot="1">
      <c r="B5" s="342"/>
      <c r="C5" s="279">
        <v>1</v>
      </c>
      <c r="D5" s="279">
        <v>2</v>
      </c>
      <c r="E5" s="279" t="s">
        <v>105</v>
      </c>
    </row>
    <row r="6" spans="2:5" ht="15.75" customHeight="1">
      <c r="B6" s="284" t="s">
        <v>106</v>
      </c>
      <c r="C6" s="268"/>
      <c r="D6" s="281"/>
      <c r="E6" s="266"/>
    </row>
    <row r="7" spans="2:5" ht="15.75" customHeight="1">
      <c r="B7" s="285" t="s">
        <v>107</v>
      </c>
      <c r="C7" s="266"/>
      <c r="D7" s="282"/>
      <c r="E7" s="266"/>
    </row>
    <row r="8" spans="2:5" ht="15.75" customHeight="1">
      <c r="B8" s="286" t="s">
        <v>108</v>
      </c>
      <c r="C8" s="164">
        <f>('Bilan N+1'!C30+'Bilan N+1'!C32)-('Bilan N'!C30+'Bilan N'!C32)</f>
        <v>537000</v>
      </c>
      <c r="D8" s="282"/>
      <c r="E8" s="273"/>
    </row>
    <row r="9" spans="2:5" ht="15.75">
      <c r="B9" s="286" t="s">
        <v>109</v>
      </c>
      <c r="C9" s="164"/>
      <c r="D9" s="282"/>
      <c r="E9" s="273"/>
    </row>
    <row r="10" spans="2:5" ht="31.5">
      <c r="B10" s="283" t="s">
        <v>146</v>
      </c>
      <c r="C10" s="164">
        <f>'Bilan N+1'!C36-'Bilan N'!C36</f>
        <v>214000</v>
      </c>
      <c r="D10" s="282"/>
      <c r="E10" s="273"/>
    </row>
    <row r="11" spans="2:5" ht="15.75" customHeight="1">
      <c r="B11" s="285" t="s">
        <v>110</v>
      </c>
      <c r="C11" s="266"/>
      <c r="D11" s="282"/>
      <c r="E11" s="273"/>
    </row>
    <row r="12" spans="2:5" ht="15.75" customHeight="1">
      <c r="B12" s="286" t="s">
        <v>111</v>
      </c>
      <c r="C12" s="164"/>
      <c r="D12" s="282"/>
      <c r="E12" s="273"/>
    </row>
    <row r="13" spans="2:5" ht="32.25" thickBot="1">
      <c r="B13" s="283" t="s">
        <v>147</v>
      </c>
      <c r="C13" s="266"/>
      <c r="D13" s="186">
        <f>('Bilan N+1'!G36+'Bilan N+1'!G37+'Bilan N+1'!G38+'Bilan N+1'!G43+'Bilan N+1'!G44)-('Bilan N'!G36+'Bilan N'!G37+'Bilan N'!G38+'Bilan N'!G43)</f>
        <v>62000</v>
      </c>
      <c r="E13" s="273"/>
    </row>
    <row r="14" spans="2:5" ht="15.75" customHeight="1" thickBot="1">
      <c r="B14" s="287" t="s">
        <v>82</v>
      </c>
      <c r="C14" s="274">
        <f>SUM(C8:C13)</f>
        <v>751000</v>
      </c>
      <c r="D14" s="274">
        <f>SUM(D8:D13)</f>
        <v>62000</v>
      </c>
      <c r="E14" s="273"/>
    </row>
    <row r="15" spans="2:5" ht="15.75" customHeight="1" thickBot="1">
      <c r="B15" s="338" t="s">
        <v>112</v>
      </c>
      <c r="C15" s="339"/>
      <c r="D15" s="339"/>
      <c r="E15" s="174">
        <f>D14-C14</f>
        <v>-689000</v>
      </c>
    </row>
    <row r="16" spans="2:5" ht="15.75" customHeight="1">
      <c r="B16" s="280" t="s">
        <v>113</v>
      </c>
      <c r="C16" s="268"/>
      <c r="D16" s="281"/>
      <c r="E16" s="276"/>
    </row>
    <row r="17" spans="2:5" ht="15.75" customHeight="1">
      <c r="B17" s="266" t="s">
        <v>114</v>
      </c>
      <c r="C17" s="164"/>
      <c r="D17" s="186">
        <f>'Bilan N'!C39-('Bilan N+1'!C37+'Bilan N+1'!C39)</f>
        <v>27000</v>
      </c>
      <c r="E17" s="73"/>
    </row>
    <row r="18" spans="2:5" ht="15.75" customHeight="1" thickBot="1">
      <c r="B18" s="269" t="s">
        <v>115</v>
      </c>
      <c r="C18" s="172"/>
      <c r="D18" s="187">
        <f>'Bilan N+1'!G42-'Bilan N'!G42</f>
        <v>153100</v>
      </c>
      <c r="E18" s="73"/>
    </row>
    <row r="19" spans="2:5" ht="15.75" customHeight="1" thickBot="1">
      <c r="B19" s="287" t="s">
        <v>82</v>
      </c>
      <c r="C19" s="267">
        <f>SUM(C17:C18)</f>
        <v>0</v>
      </c>
      <c r="D19" s="267">
        <f>SUM(D17:D18)</f>
        <v>180100</v>
      </c>
      <c r="E19" s="74"/>
    </row>
    <row r="20" spans="2:5" ht="15.75" customHeight="1" thickBot="1">
      <c r="B20" s="333" t="s">
        <v>116</v>
      </c>
      <c r="C20" s="334"/>
      <c r="D20" s="335"/>
      <c r="E20" s="174">
        <f>D19-C19</f>
        <v>180100</v>
      </c>
    </row>
    <row r="21" spans="2:5" ht="15.75" customHeight="1" thickBot="1">
      <c r="B21" s="343" t="s">
        <v>117</v>
      </c>
      <c r="C21" s="344"/>
      <c r="D21" s="345"/>
      <c r="E21" s="288"/>
    </row>
    <row r="22" spans="2:5" ht="15.75" customHeight="1" thickBot="1">
      <c r="B22" s="346" t="s">
        <v>149</v>
      </c>
      <c r="C22" s="347"/>
      <c r="D22" s="348"/>
      <c r="E22" s="182">
        <f>IF(E15+E20&lt;0,(E15+E20),0)</f>
        <v>-508900</v>
      </c>
    </row>
    <row r="23" spans="2:5" ht="15.75" customHeight="1" thickBot="1">
      <c r="B23" s="346" t="s">
        <v>118</v>
      </c>
      <c r="C23" s="347"/>
      <c r="D23" s="348"/>
      <c r="E23" s="275"/>
    </row>
    <row r="24" spans="2:5" ht="15.75" customHeight="1" thickBot="1">
      <c r="B24" s="330" t="s">
        <v>150</v>
      </c>
      <c r="C24" s="331"/>
      <c r="D24" s="332"/>
      <c r="E24" s="182">
        <f>IF(E15+E20&gt;0,E15+E20,0)</f>
        <v>0</v>
      </c>
    </row>
    <row r="25" spans="2:5" ht="15.75" customHeight="1">
      <c r="B25" s="289" t="s">
        <v>119</v>
      </c>
      <c r="C25" s="268"/>
      <c r="D25" s="281"/>
      <c r="E25" s="276"/>
    </row>
    <row r="26" spans="2:5" ht="15.75" customHeight="1">
      <c r="B26" s="290" t="s">
        <v>120</v>
      </c>
      <c r="C26" s="266"/>
      <c r="D26" s="186">
        <f>-'Bilan N+1'!C40+'Bilan N'!C40</f>
        <v>86500</v>
      </c>
      <c r="E26" s="73"/>
    </row>
    <row r="27" spans="2:5" ht="15.75" customHeight="1">
      <c r="B27" s="355" t="s">
        <v>148</v>
      </c>
      <c r="C27" s="164"/>
      <c r="D27" s="186">
        <f>'Bilan N+1'!G48-'Bilan N'!G48</f>
        <v>79000</v>
      </c>
      <c r="E27" s="73"/>
    </row>
    <row r="28" spans="2:5" ht="15.75" customHeight="1" thickBot="1">
      <c r="B28" s="356"/>
      <c r="C28" s="172"/>
      <c r="D28" s="187"/>
      <c r="E28" s="73"/>
    </row>
    <row r="29" spans="2:5" ht="15.75" customHeight="1" thickBot="1">
      <c r="B29" s="287" t="s">
        <v>82</v>
      </c>
      <c r="C29" s="277">
        <f>SUM(C26:C28)</f>
        <v>0</v>
      </c>
      <c r="D29" s="277">
        <f>SUM(D26:D28)</f>
        <v>165500</v>
      </c>
      <c r="E29" s="74"/>
    </row>
    <row r="30" spans="2:5" ht="15.75" customHeight="1" thickBot="1">
      <c r="B30" s="333" t="s">
        <v>121</v>
      </c>
      <c r="C30" s="334"/>
      <c r="D30" s="335"/>
      <c r="E30" s="174">
        <f>D29-C29</f>
        <v>165500</v>
      </c>
    </row>
    <row r="31" spans="2:5" ht="15.75" customHeight="1" thickBot="1">
      <c r="B31" s="343" t="s">
        <v>151</v>
      </c>
      <c r="C31" s="353"/>
      <c r="D31" s="354"/>
      <c r="E31" s="275"/>
    </row>
    <row r="32" spans="2:5" ht="15.75" customHeight="1" thickBot="1">
      <c r="B32" s="346" t="s">
        <v>122</v>
      </c>
      <c r="C32" s="349"/>
      <c r="D32" s="350"/>
      <c r="E32" s="291">
        <f>IF(E15+E20+E30&lt;0,(E15+E20+E30),0)</f>
        <v>-343400</v>
      </c>
    </row>
    <row r="33" spans="2:5" ht="15.75" customHeight="1" thickBot="1">
      <c r="B33" s="346" t="s">
        <v>118</v>
      </c>
      <c r="C33" s="349"/>
      <c r="D33" s="350"/>
      <c r="E33" s="275"/>
    </row>
    <row r="34" spans="2:5" ht="15.75" customHeight="1" thickBot="1">
      <c r="B34" s="330" t="s">
        <v>123</v>
      </c>
      <c r="C34" s="351"/>
      <c r="D34" s="352"/>
      <c r="E34" s="292">
        <f>IF(E15+E20+E30&gt;0,E15+E20+E30,0)</f>
        <v>0</v>
      </c>
    </row>
  </sheetData>
  <sheetProtection/>
  <mergeCells count="15">
    <mergeCell ref="B32:D32"/>
    <mergeCell ref="B33:D33"/>
    <mergeCell ref="B34:D34"/>
    <mergeCell ref="B31:D31"/>
    <mergeCell ref="B27:B28"/>
    <mergeCell ref="B20:D20"/>
    <mergeCell ref="B22:D22"/>
    <mergeCell ref="B24:D24"/>
    <mergeCell ref="B30:D30"/>
    <mergeCell ref="B2:E2"/>
    <mergeCell ref="C3:E3"/>
    <mergeCell ref="B15:D15"/>
    <mergeCell ref="B3:B5"/>
    <mergeCell ref="B21:D21"/>
    <mergeCell ref="B23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0"/>
  <sheetViews>
    <sheetView showGridLines="0" zoomScalePageLayoutView="0" workbookViewId="0" topLeftCell="A25">
      <selection activeCell="B2" sqref="B2:G2"/>
    </sheetView>
  </sheetViews>
  <sheetFormatPr defaultColWidth="11.421875" defaultRowHeight="13.5" customHeight="1"/>
  <cols>
    <col min="1" max="1" width="3.7109375" style="78" customWidth="1"/>
    <col min="2" max="2" width="30.7109375" style="78" customWidth="1"/>
    <col min="3" max="5" width="9.7109375" style="78" customWidth="1"/>
    <col min="6" max="6" width="30.7109375" style="78" customWidth="1"/>
    <col min="7" max="7" width="9.7109375" style="78" customWidth="1"/>
    <col min="8" max="16384" width="11.421875" style="78" customWidth="1"/>
  </cols>
  <sheetData>
    <row r="1" spans="2:3" ht="13.5" customHeight="1" thickBot="1">
      <c r="B1" s="76"/>
      <c r="C1" s="77"/>
    </row>
    <row r="2" spans="2:7" ht="13.5" customHeight="1" thickBot="1">
      <c r="B2" s="293" t="s">
        <v>257</v>
      </c>
      <c r="C2" s="294"/>
      <c r="D2" s="294"/>
      <c r="E2" s="294"/>
      <c r="F2" s="294"/>
      <c r="G2" s="295"/>
    </row>
    <row r="3" spans="2:7" ht="13.5" customHeight="1" thickBot="1">
      <c r="B3" s="79" t="s">
        <v>52</v>
      </c>
      <c r="C3" s="80" t="s">
        <v>263</v>
      </c>
      <c r="D3" s="80" t="s">
        <v>53</v>
      </c>
      <c r="E3" s="80" t="s">
        <v>262</v>
      </c>
      <c r="F3" s="79" t="s">
        <v>54</v>
      </c>
      <c r="G3" s="80" t="s">
        <v>235</v>
      </c>
    </row>
    <row r="4" spans="2:7" ht="13.5" customHeight="1">
      <c r="B4" s="81" t="s">
        <v>56</v>
      </c>
      <c r="C4" s="82"/>
      <c r="D4" s="82"/>
      <c r="E4" s="82"/>
      <c r="F4" s="126" t="s">
        <v>57</v>
      </c>
      <c r="G4" s="82"/>
    </row>
    <row r="5" spans="2:7" ht="13.5" customHeight="1">
      <c r="B5" s="83" t="s">
        <v>81</v>
      </c>
      <c r="C5" s="84"/>
      <c r="D5" s="84"/>
      <c r="E5" s="85"/>
      <c r="F5" s="127"/>
      <c r="G5" s="84"/>
    </row>
    <row r="6" spans="2:7" ht="13.5" customHeight="1">
      <c r="B6" s="84" t="s">
        <v>173</v>
      </c>
      <c r="C6" s="87">
        <v>600000</v>
      </c>
      <c r="D6" s="87">
        <v>520000</v>
      </c>
      <c r="E6" s="87">
        <f>C6-D6</f>
        <v>80000</v>
      </c>
      <c r="F6" s="107" t="s">
        <v>58</v>
      </c>
      <c r="G6" s="87">
        <v>2600000</v>
      </c>
    </row>
    <row r="7" spans="2:7" ht="13.5" customHeight="1">
      <c r="B7" s="84" t="s">
        <v>174</v>
      </c>
      <c r="C7" s="87"/>
      <c r="D7" s="87"/>
      <c r="E7" s="87"/>
      <c r="F7" s="107" t="s">
        <v>60</v>
      </c>
      <c r="G7" s="87">
        <v>148000</v>
      </c>
    </row>
    <row r="8" spans="2:7" ht="13.5" customHeight="1">
      <c r="B8" s="84" t="s">
        <v>179</v>
      </c>
      <c r="C8" s="88">
        <v>200000</v>
      </c>
      <c r="D8" s="88">
        <v>120000</v>
      </c>
      <c r="E8" s="87">
        <f>C8-D8</f>
        <v>80000</v>
      </c>
      <c r="G8" s="88"/>
    </row>
    <row r="9" spans="2:7" ht="13.5" customHeight="1">
      <c r="B9" s="84" t="s">
        <v>175</v>
      </c>
      <c r="C9" s="88"/>
      <c r="D9" s="88"/>
      <c r="E9" s="87"/>
      <c r="F9" s="107" t="s">
        <v>62</v>
      </c>
      <c r="G9" s="88">
        <v>220000</v>
      </c>
    </row>
    <row r="10" spans="2:7" ht="13.5" customHeight="1">
      <c r="B10" s="84" t="s">
        <v>176</v>
      </c>
      <c r="C10" s="88"/>
      <c r="D10" s="88"/>
      <c r="E10" s="87"/>
      <c r="F10" s="107" t="s">
        <v>64</v>
      </c>
      <c r="G10" s="88"/>
    </row>
    <row r="11" spans="2:7" ht="13.5" customHeight="1">
      <c r="B11" s="84" t="s">
        <v>177</v>
      </c>
      <c r="C11" s="88"/>
      <c r="D11" s="88"/>
      <c r="E11" s="87"/>
      <c r="F11" s="107" t="s">
        <v>196</v>
      </c>
      <c r="G11" s="88"/>
    </row>
    <row r="12" spans="2:7" ht="13.5" customHeight="1">
      <c r="B12" s="84" t="s">
        <v>178</v>
      </c>
      <c r="C12" s="88"/>
      <c r="D12" s="88"/>
      <c r="E12" s="87"/>
      <c r="F12" s="107" t="s">
        <v>197</v>
      </c>
      <c r="G12" s="88">
        <v>298000</v>
      </c>
    </row>
    <row r="13" spans="2:7" ht="13.5" customHeight="1">
      <c r="B13" s="83" t="s">
        <v>131</v>
      </c>
      <c r="C13" s="88"/>
      <c r="D13" s="88"/>
      <c r="E13" s="87"/>
      <c r="F13" s="107" t="s">
        <v>66</v>
      </c>
      <c r="G13" s="88">
        <v>18000</v>
      </c>
    </row>
    <row r="14" spans="2:7" ht="13.5" customHeight="1">
      <c r="B14" s="84" t="s">
        <v>59</v>
      </c>
      <c r="C14" s="88">
        <v>1400000</v>
      </c>
      <c r="D14" s="88"/>
      <c r="E14" s="87">
        <f>C14-D14</f>
        <v>1400000</v>
      </c>
      <c r="F14" s="107"/>
      <c r="G14" s="88"/>
    </row>
    <row r="15" spans="2:7" ht="13.5" customHeight="1">
      <c r="B15" s="84" t="s">
        <v>61</v>
      </c>
      <c r="C15" s="88">
        <v>1800000</v>
      </c>
      <c r="D15" s="88">
        <v>1300000</v>
      </c>
      <c r="E15" s="87">
        <f>C15-D15</f>
        <v>500000</v>
      </c>
      <c r="F15" s="128" t="s">
        <v>212</v>
      </c>
      <c r="G15" s="91">
        <f>E46-G21-G27-G45</f>
        <v>815000</v>
      </c>
    </row>
    <row r="16" spans="2:7" ht="13.5" customHeight="1">
      <c r="B16" s="84" t="s">
        <v>63</v>
      </c>
      <c r="C16" s="88">
        <v>1160000</v>
      </c>
      <c r="D16" s="88">
        <v>680000</v>
      </c>
      <c r="E16" s="87">
        <f>C16-D16</f>
        <v>480000</v>
      </c>
      <c r="G16" s="92"/>
    </row>
    <row r="17" spans="2:7" ht="13.5" customHeight="1">
      <c r="B17" s="84" t="s">
        <v>65</v>
      </c>
      <c r="C17" s="88">
        <v>200000</v>
      </c>
      <c r="D17" s="88">
        <v>128000</v>
      </c>
      <c r="E17" s="87">
        <f>C17-D17</f>
        <v>72000</v>
      </c>
      <c r="F17" s="107" t="s">
        <v>198</v>
      </c>
      <c r="G17" s="88">
        <v>90000</v>
      </c>
    </row>
    <row r="18" spans="2:7" ht="13.5" customHeight="1">
      <c r="B18" s="84" t="s">
        <v>180</v>
      </c>
      <c r="C18" s="88"/>
      <c r="D18" s="88"/>
      <c r="E18" s="87"/>
      <c r="F18" s="107" t="s">
        <v>80</v>
      </c>
      <c r="G18" s="88">
        <v>10000</v>
      </c>
    </row>
    <row r="19" spans="2:7" ht="13.5" customHeight="1">
      <c r="B19" s="84" t="s">
        <v>181</v>
      </c>
      <c r="C19" s="88"/>
      <c r="D19" s="88"/>
      <c r="E19" s="87"/>
      <c r="F19" s="107"/>
      <c r="G19" s="88"/>
    </row>
    <row r="20" spans="2:7" ht="13.5" customHeight="1">
      <c r="B20" s="83" t="s">
        <v>133</v>
      </c>
      <c r="C20" s="88"/>
      <c r="D20" s="88"/>
      <c r="E20" s="87"/>
      <c r="F20" s="107"/>
      <c r="G20" s="92"/>
    </row>
    <row r="21" spans="2:7" ht="13.5" customHeight="1">
      <c r="B21" s="84" t="s">
        <v>185</v>
      </c>
      <c r="C21" s="88">
        <v>140000</v>
      </c>
      <c r="D21" s="88">
        <v>15000</v>
      </c>
      <c r="E21" s="87">
        <f>C21-D21</f>
        <v>125000</v>
      </c>
      <c r="F21" s="129" t="s">
        <v>211</v>
      </c>
      <c r="G21" s="94">
        <f>SUM(G6:G14)+SUM(G16:G20)</f>
        <v>3384000</v>
      </c>
    </row>
    <row r="22" spans="2:7" ht="13.5" customHeight="1">
      <c r="B22" s="84" t="s">
        <v>186</v>
      </c>
      <c r="C22" s="88"/>
      <c r="D22" s="88"/>
      <c r="E22" s="87"/>
      <c r="F22" s="130"/>
      <c r="G22" s="94"/>
    </row>
    <row r="23" spans="2:7" ht="13.5" customHeight="1" thickBot="1">
      <c r="B23" s="84" t="s">
        <v>183</v>
      </c>
      <c r="C23" s="88"/>
      <c r="D23" s="88"/>
      <c r="E23" s="87"/>
      <c r="G23" s="131"/>
    </row>
    <row r="24" spans="2:7" ht="13.5" customHeight="1" thickBot="1">
      <c r="B24" s="84" t="s">
        <v>182</v>
      </c>
      <c r="C24" s="88"/>
      <c r="D24" s="88"/>
      <c r="E24" s="87"/>
      <c r="F24" s="97" t="s">
        <v>40</v>
      </c>
      <c r="G24" s="98">
        <f>G21+G15</f>
        <v>4199000</v>
      </c>
    </row>
    <row r="25" spans="2:7" ht="13.5" customHeight="1">
      <c r="B25" s="84" t="s">
        <v>225</v>
      </c>
      <c r="C25" s="88">
        <v>20000</v>
      </c>
      <c r="D25" s="88"/>
      <c r="E25" s="87">
        <f>C25-D25</f>
        <v>20000</v>
      </c>
      <c r="F25" s="82" t="s">
        <v>199</v>
      </c>
      <c r="G25" s="132">
        <v>91000</v>
      </c>
    </row>
    <row r="26" spans="2:7" ht="13.5" customHeight="1" thickBot="1">
      <c r="B26" s="84" t="s">
        <v>184</v>
      </c>
      <c r="C26" s="88">
        <v>12000</v>
      </c>
      <c r="D26" s="88"/>
      <c r="E26" s="87">
        <f>C26-D26</f>
        <v>12000</v>
      </c>
      <c r="F26" s="133" t="s">
        <v>200</v>
      </c>
      <c r="G26" s="96">
        <v>124000</v>
      </c>
    </row>
    <row r="27" spans="2:7" ht="13.5" customHeight="1" thickBot="1">
      <c r="B27" s="97" t="s">
        <v>40</v>
      </c>
      <c r="C27" s="98">
        <f>SUM(C5:C26)</f>
        <v>5532000</v>
      </c>
      <c r="D27" s="98">
        <f>SUM(D5:D26)</f>
        <v>2763000</v>
      </c>
      <c r="E27" s="98">
        <f>SUM(E5:E26)</f>
        <v>2769000</v>
      </c>
      <c r="F27" s="97" t="s">
        <v>41</v>
      </c>
      <c r="G27" s="98">
        <f>G25+G26</f>
        <v>215000</v>
      </c>
    </row>
    <row r="28" spans="2:7" ht="13.5" customHeight="1">
      <c r="B28" s="81" t="s">
        <v>68</v>
      </c>
      <c r="C28" s="88"/>
      <c r="D28" s="88"/>
      <c r="E28" s="88"/>
      <c r="F28" s="100" t="s">
        <v>70</v>
      </c>
      <c r="G28" s="134"/>
    </row>
    <row r="29" spans="2:7" ht="13.5" customHeight="1">
      <c r="B29" s="101" t="s">
        <v>192</v>
      </c>
      <c r="C29" s="88"/>
      <c r="D29" s="88"/>
      <c r="E29" s="88"/>
      <c r="F29" s="102"/>
      <c r="G29" s="88"/>
    </row>
    <row r="30" spans="2:7" ht="13.5" customHeight="1">
      <c r="B30" s="103" t="s">
        <v>187</v>
      </c>
      <c r="C30" s="88">
        <v>1412000</v>
      </c>
      <c r="D30" s="88">
        <v>48000</v>
      </c>
      <c r="E30" s="88">
        <f>C30-D30</f>
        <v>1364000</v>
      </c>
      <c r="F30" s="78" t="s">
        <v>201</v>
      </c>
      <c r="G30" s="88"/>
    </row>
    <row r="31" spans="2:7" ht="13.5" customHeight="1">
      <c r="B31" s="103" t="s">
        <v>188</v>
      </c>
      <c r="C31" s="88"/>
      <c r="D31" s="88"/>
      <c r="E31" s="88"/>
      <c r="F31" s="78" t="s">
        <v>202</v>
      </c>
      <c r="G31" s="88"/>
    </row>
    <row r="32" spans="2:7" ht="13.5" customHeight="1">
      <c r="B32" s="103" t="s">
        <v>189</v>
      </c>
      <c r="C32" s="88">
        <v>506000</v>
      </c>
      <c r="D32" s="88">
        <v>31000</v>
      </c>
      <c r="E32" s="88">
        <f aca="true" t="shared" si="0" ref="E32:E42">C32-D32</f>
        <v>475000</v>
      </c>
      <c r="F32" s="84" t="s">
        <v>259</v>
      </c>
      <c r="G32" s="88">
        <v>295000</v>
      </c>
    </row>
    <row r="33" spans="2:7" ht="13.5" customHeight="1">
      <c r="B33" s="84" t="s">
        <v>69</v>
      </c>
      <c r="C33" s="88"/>
      <c r="D33" s="88"/>
      <c r="E33" s="88"/>
      <c r="F33" s="78" t="s">
        <v>224</v>
      </c>
      <c r="G33" s="88">
        <v>100400</v>
      </c>
    </row>
    <row r="34" spans="2:7" ht="13.5" customHeight="1">
      <c r="B34" s="83" t="s">
        <v>190</v>
      </c>
      <c r="C34" s="88"/>
      <c r="D34" s="88"/>
      <c r="E34" s="88"/>
      <c r="F34" s="83" t="s">
        <v>72</v>
      </c>
      <c r="G34" s="88"/>
    </row>
    <row r="35" spans="2:7" ht="13.5" customHeight="1">
      <c r="B35" s="83" t="s">
        <v>191</v>
      </c>
      <c r="C35" s="88"/>
      <c r="D35" s="88"/>
      <c r="E35" s="88"/>
      <c r="F35" s="83" t="s">
        <v>203</v>
      </c>
      <c r="G35" s="88"/>
    </row>
    <row r="36" spans="2:7" ht="13.5" customHeight="1">
      <c r="B36" s="84" t="s">
        <v>71</v>
      </c>
      <c r="C36" s="88">
        <v>802000</v>
      </c>
      <c r="D36" s="88">
        <v>77000</v>
      </c>
      <c r="E36" s="88">
        <f t="shared" si="0"/>
        <v>725000</v>
      </c>
      <c r="F36" s="84" t="s">
        <v>74</v>
      </c>
      <c r="G36" s="88">
        <v>183000</v>
      </c>
    </row>
    <row r="37" spans="2:7" ht="13.5" customHeight="1">
      <c r="B37" s="84" t="s">
        <v>232</v>
      </c>
      <c r="C37" s="88">
        <v>38000</v>
      </c>
      <c r="D37" s="88"/>
      <c r="E37" s="88">
        <f t="shared" si="0"/>
        <v>38000</v>
      </c>
      <c r="F37" s="105" t="s">
        <v>76</v>
      </c>
      <c r="G37" s="88">
        <v>165000</v>
      </c>
    </row>
    <row r="38" spans="2:7" ht="13.5" customHeight="1">
      <c r="B38" s="84" t="s">
        <v>193</v>
      </c>
      <c r="C38" s="88"/>
      <c r="D38" s="88"/>
      <c r="E38" s="88"/>
      <c r="F38" s="105" t="s">
        <v>204</v>
      </c>
      <c r="G38" s="88"/>
    </row>
    <row r="39" spans="2:7" ht="13.5" customHeight="1">
      <c r="B39" s="84" t="s">
        <v>75</v>
      </c>
      <c r="C39" s="88">
        <v>29000</v>
      </c>
      <c r="D39" s="88">
        <v>2000</v>
      </c>
      <c r="E39" s="88">
        <f t="shared" si="0"/>
        <v>27000</v>
      </c>
      <c r="F39" s="135" t="s">
        <v>205</v>
      </c>
      <c r="G39" s="88"/>
    </row>
    <row r="40" spans="2:7" ht="13.5" customHeight="1">
      <c r="B40" s="84" t="s">
        <v>77</v>
      </c>
      <c r="C40" s="88">
        <v>32000</v>
      </c>
      <c r="D40" s="88"/>
      <c r="E40" s="88">
        <f t="shared" si="0"/>
        <v>32000</v>
      </c>
      <c r="F40" s="105" t="s">
        <v>78</v>
      </c>
      <c r="G40" s="88"/>
    </row>
    <row r="41" spans="2:7" ht="13.5" customHeight="1">
      <c r="B41" s="84" t="s">
        <v>209</v>
      </c>
      <c r="C41" s="88"/>
      <c r="D41" s="88"/>
      <c r="E41" s="88"/>
      <c r="F41" s="105" t="s">
        <v>206</v>
      </c>
      <c r="G41" s="88"/>
    </row>
    <row r="42" spans="2:7" ht="13.5" customHeight="1">
      <c r="B42" s="84" t="s">
        <v>236</v>
      </c>
      <c r="C42" s="88">
        <v>192500</v>
      </c>
      <c r="D42" s="88"/>
      <c r="E42" s="88">
        <f t="shared" si="0"/>
        <v>192500</v>
      </c>
      <c r="F42" s="107" t="s">
        <v>207</v>
      </c>
      <c r="G42" s="88">
        <v>465100</v>
      </c>
    </row>
    <row r="43" spans="2:7" ht="13.5" customHeight="1">
      <c r="B43" s="84" t="s">
        <v>194</v>
      </c>
      <c r="C43" s="88"/>
      <c r="D43" s="88"/>
      <c r="E43" s="88"/>
      <c r="F43" s="105" t="s">
        <v>208</v>
      </c>
      <c r="G43" s="88"/>
    </row>
    <row r="44" spans="2:7" ht="13.5" customHeight="1" thickBot="1">
      <c r="B44" s="133" t="s">
        <v>195</v>
      </c>
      <c r="C44" s="88"/>
      <c r="D44" s="88"/>
      <c r="E44" s="88"/>
      <c r="F44" s="136" t="s">
        <v>210</v>
      </c>
      <c r="G44" s="137"/>
    </row>
    <row r="45" spans="2:7" ht="13.5" customHeight="1" thickBot="1">
      <c r="B45" s="97" t="s">
        <v>41</v>
      </c>
      <c r="C45" s="98">
        <f>SUM(C30:C44)</f>
        <v>3011500</v>
      </c>
      <c r="D45" s="98">
        <f>SUM(D30:D44)</f>
        <v>158000</v>
      </c>
      <c r="E45" s="98">
        <f>SUM(E30:E44)</f>
        <v>2853500</v>
      </c>
      <c r="F45" s="97" t="s">
        <v>42</v>
      </c>
      <c r="G45" s="98">
        <f>SUM(G32:G44)</f>
        <v>1208500</v>
      </c>
    </row>
    <row r="46" spans="2:7" ht="13.5" customHeight="1" thickBot="1">
      <c r="B46" s="108" t="s">
        <v>79</v>
      </c>
      <c r="C46" s="109">
        <f>C27+C45</f>
        <v>8543500</v>
      </c>
      <c r="D46" s="109">
        <f>D27+D45</f>
        <v>2921000</v>
      </c>
      <c r="E46" s="109">
        <f>E27+E45</f>
        <v>5622500</v>
      </c>
      <c r="F46" s="110" t="s">
        <v>79</v>
      </c>
      <c r="G46" s="109">
        <f>G24+G27+G45</f>
        <v>5622500</v>
      </c>
    </row>
    <row r="47" spans="2:7" ht="13.5" customHeight="1">
      <c r="B47" s="138" t="s">
        <v>233</v>
      </c>
      <c r="C47" s="139">
        <v>90000</v>
      </c>
      <c r="D47" s="113"/>
      <c r="E47" s="113"/>
      <c r="F47" s="114" t="s">
        <v>260</v>
      </c>
      <c r="G47" s="115"/>
    </row>
    <row r="48" spans="2:7" ht="13.5" customHeight="1">
      <c r="B48" s="116" t="s">
        <v>227</v>
      </c>
      <c r="C48" s="117">
        <v>110000</v>
      </c>
      <c r="D48" s="118"/>
      <c r="E48" s="118"/>
      <c r="F48" s="119" t="s">
        <v>261</v>
      </c>
      <c r="G48" s="120">
        <v>94000</v>
      </c>
    </row>
    <row r="49" spans="2:7" ht="13.5" customHeight="1">
      <c r="B49" s="140" t="s">
        <v>237</v>
      </c>
      <c r="C49" s="141"/>
      <c r="D49" s="118"/>
      <c r="E49" s="118"/>
      <c r="F49" s="118"/>
      <c r="G49" s="142"/>
    </row>
    <row r="50" spans="2:7" ht="13.5" customHeight="1" thickBot="1">
      <c r="B50" s="121" t="s">
        <v>234</v>
      </c>
      <c r="C50" s="143">
        <v>180000</v>
      </c>
      <c r="D50" s="123"/>
      <c r="E50" s="123"/>
      <c r="F50" s="123"/>
      <c r="G50" s="124"/>
    </row>
  </sheetData>
  <sheetProtection/>
  <mergeCells count="1">
    <mergeCell ref="B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showGridLines="0" zoomScalePageLayoutView="0" workbookViewId="0" topLeftCell="A13">
      <selection activeCell="B2" sqref="B2:E2"/>
    </sheetView>
  </sheetViews>
  <sheetFormatPr defaultColWidth="11.421875" defaultRowHeight="12.75"/>
  <cols>
    <col min="1" max="1" width="3.7109375" style="1" customWidth="1"/>
    <col min="2" max="2" width="39.28125" style="1" customWidth="1"/>
    <col min="3" max="3" width="11.28125" style="1" customWidth="1"/>
    <col min="4" max="4" width="39.28125" style="1" customWidth="1"/>
    <col min="5" max="5" width="11.28125" style="1" customWidth="1"/>
    <col min="6" max="16384" width="11.421875" style="1" customWidth="1"/>
  </cols>
  <sheetData>
    <row r="1" spans="2:5" s="17" customFormat="1" ht="14.25" thickBot="1">
      <c r="B1" s="296"/>
      <c r="C1" s="296"/>
      <c r="D1" s="296"/>
      <c r="E1" s="296"/>
    </row>
    <row r="2" spans="2:5" ht="13.5" thickBot="1">
      <c r="B2" s="297" t="s">
        <v>238</v>
      </c>
      <c r="C2" s="298"/>
      <c r="D2" s="298"/>
      <c r="E2" s="299"/>
    </row>
    <row r="3" spans="2:5" ht="13.5" thickBot="1">
      <c r="B3" s="18" t="s">
        <v>27</v>
      </c>
      <c r="C3" s="19" t="s">
        <v>33</v>
      </c>
      <c r="D3" s="20" t="s">
        <v>28</v>
      </c>
      <c r="E3" s="19" t="s">
        <v>33</v>
      </c>
    </row>
    <row r="4" spans="2:5" ht="13.5" thickBot="1">
      <c r="B4" s="21" t="s">
        <v>34</v>
      </c>
      <c r="C4" s="9"/>
      <c r="D4" s="64" t="s">
        <v>37</v>
      </c>
      <c r="E4" s="22"/>
    </row>
    <row r="5" spans="2:5" ht="13.5">
      <c r="B5" s="38" t="s">
        <v>152</v>
      </c>
      <c r="C5" s="23">
        <v>3053400</v>
      </c>
      <c r="D5" s="3" t="s">
        <v>160</v>
      </c>
      <c r="E5" s="24"/>
    </row>
    <row r="6" spans="2:5" ht="25.5">
      <c r="B6" s="6" t="s">
        <v>239</v>
      </c>
      <c r="C6" s="23">
        <v>-487000</v>
      </c>
      <c r="D6" s="4" t="s">
        <v>217</v>
      </c>
      <c r="E6" s="24">
        <v>5947500</v>
      </c>
    </row>
    <row r="7" spans="2:5" ht="12.75">
      <c r="B7" s="6" t="s">
        <v>228</v>
      </c>
      <c r="C7" s="23">
        <v>312000</v>
      </c>
      <c r="D7" s="4" t="s">
        <v>218</v>
      </c>
      <c r="E7" s="24"/>
    </row>
    <row r="8" spans="2:5" ht="13.5" thickBot="1">
      <c r="B8" s="6"/>
      <c r="C8" s="23"/>
      <c r="D8" s="4" t="s">
        <v>219</v>
      </c>
      <c r="E8" s="27"/>
    </row>
    <row r="9" spans="2:5" ht="13.5">
      <c r="B9" s="66" t="s">
        <v>153</v>
      </c>
      <c r="C9" s="23">
        <v>226000</v>
      </c>
      <c r="D9" s="46" t="s">
        <v>220</v>
      </c>
      <c r="E9" s="29">
        <f>SUM(E5:E8)</f>
        <v>5947500</v>
      </c>
    </row>
    <row r="10" spans="2:5" ht="13.5">
      <c r="B10" s="66"/>
      <c r="C10" s="23"/>
      <c r="D10" s="46"/>
      <c r="E10" s="29"/>
    </row>
    <row r="11" spans="2:5" ht="13.5">
      <c r="B11" s="66" t="s">
        <v>254</v>
      </c>
      <c r="C11" s="23"/>
      <c r="D11" s="25"/>
      <c r="E11" s="24"/>
    </row>
    <row r="12" spans="2:5" ht="13.5">
      <c r="B12" s="6" t="s">
        <v>154</v>
      </c>
      <c r="C12" s="23">
        <v>890000</v>
      </c>
      <c r="D12" s="3" t="s">
        <v>5</v>
      </c>
      <c r="E12" s="24">
        <v>50000</v>
      </c>
    </row>
    <row r="13" spans="2:5" ht="12.75">
      <c r="B13" s="6" t="s">
        <v>155</v>
      </c>
      <c r="C13" s="23">
        <v>441100</v>
      </c>
      <c r="D13" s="4" t="s">
        <v>26</v>
      </c>
      <c r="E13" s="24"/>
    </row>
    <row r="14" spans="2:5" ht="12.75">
      <c r="B14" s="6"/>
      <c r="C14" s="23"/>
      <c r="D14" s="4"/>
      <c r="E14" s="24"/>
    </row>
    <row r="15" spans="2:5" ht="27">
      <c r="B15" s="66" t="s">
        <v>255</v>
      </c>
      <c r="C15" s="23"/>
      <c r="D15" s="61" t="s">
        <v>45</v>
      </c>
      <c r="E15" s="62"/>
    </row>
    <row r="16" spans="2:5" ht="12.75">
      <c r="B16" s="6" t="s">
        <v>156</v>
      </c>
      <c r="C16" s="23">
        <v>482500</v>
      </c>
      <c r="D16" s="61" t="s">
        <v>248</v>
      </c>
      <c r="E16" s="62"/>
    </row>
    <row r="17" spans="2:5" ht="13.5" customHeight="1">
      <c r="B17" s="6" t="s">
        <v>157</v>
      </c>
      <c r="C17" s="23">
        <v>5000</v>
      </c>
      <c r="D17" s="4" t="s">
        <v>251</v>
      </c>
      <c r="E17" s="24">
        <v>161000</v>
      </c>
    </row>
    <row r="18" spans="2:5" ht="12.75">
      <c r="B18" s="6" t="s">
        <v>158</v>
      </c>
      <c r="C18" s="23">
        <v>44000</v>
      </c>
      <c r="D18" s="68" t="s">
        <v>252</v>
      </c>
      <c r="E18" s="24"/>
    </row>
    <row r="19" spans="2:5" ht="12.75">
      <c r="B19" s="6" t="s">
        <v>159</v>
      </c>
      <c r="C19" s="23">
        <v>20000</v>
      </c>
      <c r="D19" s="4"/>
      <c r="E19" s="24"/>
    </row>
    <row r="20" spans="2:5" ht="12.75">
      <c r="B20" s="5"/>
      <c r="C20" s="5"/>
      <c r="D20" s="4"/>
      <c r="E20" s="24"/>
    </row>
    <row r="21" spans="2:5" ht="13.5" thickBot="1">
      <c r="B21" s="6" t="s">
        <v>213</v>
      </c>
      <c r="C21" s="67"/>
      <c r="D21" s="65" t="s">
        <v>222</v>
      </c>
      <c r="E21" s="27">
        <v>14000</v>
      </c>
    </row>
    <row r="22" spans="2:5" ht="13.5" thickBot="1">
      <c r="B22" s="28" t="s">
        <v>40</v>
      </c>
      <c r="C22" s="63">
        <f>SUM(C5:C21)</f>
        <v>4987000</v>
      </c>
      <c r="D22" s="28" t="s">
        <v>40</v>
      </c>
      <c r="E22" s="29">
        <f>SUM(E9:E21)</f>
        <v>6172500</v>
      </c>
    </row>
    <row r="23" spans="2:5" ht="13.5" thickBot="1">
      <c r="B23" s="30" t="s">
        <v>35</v>
      </c>
      <c r="C23" s="31"/>
      <c r="D23" s="32" t="s">
        <v>38</v>
      </c>
      <c r="E23" s="33"/>
    </row>
    <row r="24" spans="2:5" ht="25.5">
      <c r="B24" s="2" t="s">
        <v>240</v>
      </c>
      <c r="C24" s="24">
        <v>2000</v>
      </c>
      <c r="D24" s="4" t="s">
        <v>166</v>
      </c>
      <c r="E24" s="24">
        <v>12420</v>
      </c>
    </row>
    <row r="25" spans="2:5" ht="12.75">
      <c r="B25" s="2" t="s">
        <v>161</v>
      </c>
      <c r="C25" s="24">
        <v>55250</v>
      </c>
      <c r="D25" s="4" t="s">
        <v>167</v>
      </c>
      <c r="E25" s="24"/>
    </row>
    <row r="26" spans="2:5" ht="12.75">
      <c r="B26" s="34" t="s">
        <v>214</v>
      </c>
      <c r="C26" s="24"/>
      <c r="D26" s="25" t="s">
        <v>215</v>
      </c>
      <c r="E26" s="24"/>
    </row>
    <row r="27" spans="2:5" ht="12.75">
      <c r="B27" s="34"/>
      <c r="C27" s="24"/>
      <c r="D27" s="4" t="s">
        <v>168</v>
      </c>
      <c r="E27" s="24">
        <v>9540</v>
      </c>
    </row>
    <row r="28" spans="2:5" ht="25.5">
      <c r="B28" s="34"/>
      <c r="C28" s="26"/>
      <c r="D28" s="4" t="s">
        <v>241</v>
      </c>
      <c r="E28" s="24"/>
    </row>
    <row r="29" spans="2:5" ht="12.75">
      <c r="B29" s="2" t="s">
        <v>162</v>
      </c>
      <c r="C29" s="24">
        <v>11200</v>
      </c>
      <c r="D29" s="4" t="s">
        <v>169</v>
      </c>
      <c r="E29" s="24"/>
    </row>
    <row r="30" spans="2:5" ht="13.5" thickBot="1">
      <c r="B30" s="6" t="s">
        <v>163</v>
      </c>
      <c r="C30" s="27"/>
      <c r="D30" s="6" t="s">
        <v>170</v>
      </c>
      <c r="E30" s="27">
        <v>14890</v>
      </c>
    </row>
    <row r="31" spans="2:5" ht="13.5" thickBot="1">
      <c r="B31" s="28" t="s">
        <v>41</v>
      </c>
      <c r="C31" s="35">
        <f>SUM(C24:C30)</f>
        <v>68450</v>
      </c>
      <c r="D31" s="28" t="s">
        <v>41</v>
      </c>
      <c r="E31" s="35">
        <f>SUM(E24:E30)</f>
        <v>36850</v>
      </c>
    </row>
    <row r="32" spans="2:5" ht="13.5" thickBot="1">
      <c r="B32" s="36" t="s">
        <v>36</v>
      </c>
      <c r="C32" s="31"/>
      <c r="D32" s="30" t="s">
        <v>39</v>
      </c>
      <c r="E32" s="33"/>
    </row>
    <row r="33" spans="2:5" ht="12.75">
      <c r="B33" s="6" t="s">
        <v>242</v>
      </c>
      <c r="C33" s="24"/>
      <c r="D33" s="4" t="s">
        <v>244</v>
      </c>
      <c r="E33" s="24"/>
    </row>
    <row r="34" spans="2:5" ht="13.5" customHeight="1">
      <c r="B34" s="6" t="s">
        <v>243</v>
      </c>
      <c r="C34" s="24">
        <v>22500</v>
      </c>
      <c r="D34" s="4" t="s">
        <v>245</v>
      </c>
      <c r="E34" s="24">
        <v>50350</v>
      </c>
    </row>
    <row r="35" spans="2:5" ht="12.75">
      <c r="B35" s="6" t="s">
        <v>164</v>
      </c>
      <c r="C35" s="24"/>
      <c r="D35" s="4" t="s">
        <v>216</v>
      </c>
      <c r="E35" s="24">
        <v>30000</v>
      </c>
    </row>
    <row r="36" spans="2:5" ht="26.25" thickBot="1">
      <c r="B36" s="6"/>
      <c r="C36" s="27"/>
      <c r="D36" s="6" t="s">
        <v>247</v>
      </c>
      <c r="E36" s="27"/>
    </row>
    <row r="37" spans="2:5" ht="13.5" thickBot="1">
      <c r="B37" s="28" t="s">
        <v>42</v>
      </c>
      <c r="C37" s="37">
        <f>SUM(C33:C36)</f>
        <v>22500</v>
      </c>
      <c r="D37" s="28" t="s">
        <v>42</v>
      </c>
      <c r="E37" s="37">
        <f>SUM(E33:E36)</f>
        <v>80350</v>
      </c>
    </row>
    <row r="38" spans="2:5" ht="12.75">
      <c r="B38" s="38" t="s">
        <v>165</v>
      </c>
      <c r="C38" s="39">
        <v>49750</v>
      </c>
      <c r="D38" s="25"/>
      <c r="E38" s="37"/>
    </row>
    <row r="39" spans="2:5" ht="13.5" customHeight="1" thickBot="1">
      <c r="B39" s="40" t="s">
        <v>23</v>
      </c>
      <c r="C39" s="35">
        <v>347000</v>
      </c>
      <c r="D39" s="4"/>
      <c r="E39" s="35"/>
    </row>
    <row r="40" spans="2:5" ht="14.25" thickBot="1" thickTop="1">
      <c r="B40" s="41" t="s">
        <v>43</v>
      </c>
      <c r="C40" s="42">
        <f>C22+C31+C37+C38+C39</f>
        <v>5474700</v>
      </c>
      <c r="D40" s="43" t="s">
        <v>44</v>
      </c>
      <c r="E40" s="42">
        <f>E22+E31+E37</f>
        <v>6289700</v>
      </c>
    </row>
    <row r="41" spans="2:5" ht="14.25" thickBot="1" thickTop="1">
      <c r="B41" s="11" t="s">
        <v>171</v>
      </c>
      <c r="C41" s="44">
        <f>E40-C40</f>
        <v>815000</v>
      </c>
      <c r="D41" s="45" t="s">
        <v>172</v>
      </c>
      <c r="E41" s="37"/>
    </row>
    <row r="42" spans="2:5" ht="13.5" thickBot="1">
      <c r="B42" s="47" t="s">
        <v>29</v>
      </c>
      <c r="C42" s="10">
        <f>C40+C41</f>
        <v>6289700</v>
      </c>
      <c r="D42" s="48" t="s">
        <v>29</v>
      </c>
      <c r="E42" s="10">
        <f>E40+E41</f>
        <v>6289700</v>
      </c>
    </row>
    <row r="43" spans="2:5" ht="12.75">
      <c r="B43" s="51" t="s">
        <v>253</v>
      </c>
      <c r="C43" s="52">
        <v>160000</v>
      </c>
      <c r="D43" s="53"/>
      <c r="E43" s="54"/>
    </row>
    <row r="44" spans="2:5" ht="12.75">
      <c r="B44" s="55" t="s">
        <v>249</v>
      </c>
      <c r="C44" s="49"/>
      <c r="D44" s="49"/>
      <c r="E44" s="56"/>
    </row>
    <row r="45" spans="2:5" ht="13.5" thickBot="1">
      <c r="B45" s="57" t="s">
        <v>250</v>
      </c>
      <c r="C45" s="58">
        <v>185000</v>
      </c>
      <c r="D45" s="59"/>
      <c r="E45" s="60"/>
    </row>
    <row r="46" spans="2:5" ht="12.75">
      <c r="B46" s="17"/>
      <c r="C46" s="17"/>
      <c r="D46" s="17"/>
      <c r="E46" s="17"/>
    </row>
    <row r="47" spans="2:5" ht="12.75">
      <c r="B47" s="17"/>
      <c r="C47" s="50"/>
      <c r="D47" s="17"/>
      <c r="E47" s="17"/>
    </row>
    <row r="48" spans="2:5" ht="12.75">
      <c r="B48" s="17"/>
      <c r="C48" s="17"/>
      <c r="D48" s="17"/>
      <c r="E48" s="17"/>
    </row>
    <row r="49" spans="2:5" ht="12.75">
      <c r="B49" s="17"/>
      <c r="C49" s="17"/>
      <c r="D49" s="17"/>
      <c r="E49" s="17"/>
    </row>
    <row r="50" spans="2:5" ht="12.75">
      <c r="B50" s="17"/>
      <c r="C50" s="17"/>
      <c r="D50" s="17"/>
      <c r="E50" s="17"/>
    </row>
  </sheetData>
  <sheetProtection/>
  <mergeCells count="2">
    <mergeCell ref="B1:E1"/>
    <mergeCell ref="B2:E2"/>
  </mergeCells>
  <printOptions/>
  <pageMargins left="0" right="0" top="0" bottom="0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1">
      <selection activeCell="B2" sqref="B2:G2"/>
    </sheetView>
  </sheetViews>
  <sheetFormatPr defaultColWidth="11.421875" defaultRowHeight="13.5" customHeight="1"/>
  <cols>
    <col min="1" max="1" width="3.7109375" style="7" customWidth="1"/>
    <col min="2" max="2" width="29.140625" style="7" customWidth="1"/>
    <col min="3" max="3" width="13.28125" style="7" customWidth="1"/>
    <col min="4" max="4" width="36.57421875" style="7" customWidth="1"/>
    <col min="5" max="5" width="13.28125" style="7" customWidth="1"/>
    <col min="6" max="6" width="29.28125" style="7" bestFit="1" customWidth="1"/>
    <col min="7" max="7" width="13.28125" style="7" customWidth="1"/>
    <col min="8" max="16384" width="11.421875" style="7" customWidth="1"/>
  </cols>
  <sheetData>
    <row r="1" spans="2:7" s="125" customFormat="1" ht="13.5" customHeight="1" thickBot="1">
      <c r="B1" s="307"/>
      <c r="C1" s="307"/>
      <c r="D1" s="307"/>
      <c r="E1" s="307"/>
      <c r="F1" s="307"/>
      <c r="G1" s="307"/>
    </row>
    <row r="2" spans="2:7" ht="13.5" customHeight="1" thickBot="1">
      <c r="B2" s="304" t="s">
        <v>264</v>
      </c>
      <c r="C2" s="305"/>
      <c r="D2" s="305"/>
      <c r="E2" s="305"/>
      <c r="F2" s="305"/>
      <c r="G2" s="306"/>
    </row>
    <row r="3" spans="2:7" ht="13.5" customHeight="1" thickBot="1">
      <c r="B3" s="308" t="s">
        <v>0</v>
      </c>
      <c r="C3" s="309"/>
      <c r="D3" s="308" t="s">
        <v>1</v>
      </c>
      <c r="E3" s="309"/>
      <c r="F3" s="310" t="s">
        <v>265</v>
      </c>
      <c r="G3" s="311"/>
    </row>
    <row r="4" spans="2:7" ht="13.5" customHeight="1" thickBot="1">
      <c r="B4" s="150" t="s">
        <v>2</v>
      </c>
      <c r="C4" s="151"/>
      <c r="D4" s="150" t="s">
        <v>3</v>
      </c>
      <c r="E4" s="151"/>
      <c r="F4" s="157" t="s">
        <v>7</v>
      </c>
      <c r="G4" s="144">
        <f>C4-E4</f>
        <v>0</v>
      </c>
    </row>
    <row r="5" spans="2:7" ht="13.5" customHeight="1">
      <c r="B5" s="149" t="s">
        <v>4</v>
      </c>
      <c r="C5" s="69">
        <f>'Tableau de résultat N+1'!E6</f>
        <v>5947500</v>
      </c>
      <c r="D5" s="149"/>
      <c r="E5" s="69"/>
      <c r="F5" s="147"/>
      <c r="G5" s="16"/>
    </row>
    <row r="6" spans="2:7" ht="13.5" customHeight="1">
      <c r="B6" s="12" t="s">
        <v>5</v>
      </c>
      <c r="C6" s="13">
        <f>'Tableau de résultat N+1'!E12</f>
        <v>50000</v>
      </c>
      <c r="D6" s="12" t="s">
        <v>8</v>
      </c>
      <c r="E6" s="13"/>
      <c r="F6" s="148"/>
      <c r="G6" s="15"/>
    </row>
    <row r="7" spans="2:7" ht="13.5" customHeight="1" thickBot="1">
      <c r="B7" s="12" t="s">
        <v>26</v>
      </c>
      <c r="C7" s="13">
        <f>'Tableau de résultat N+1'!E13</f>
        <v>0</v>
      </c>
      <c r="D7" s="12"/>
      <c r="E7" s="13"/>
      <c r="F7" s="12"/>
      <c r="G7" s="15"/>
    </row>
    <row r="8" spans="2:7" s="145" customFormat="1" ht="13.5" customHeight="1" thickBot="1">
      <c r="B8" s="152" t="s">
        <v>273</v>
      </c>
      <c r="C8" s="146">
        <f>SUM(C5:C7)</f>
        <v>5997500</v>
      </c>
      <c r="D8" s="152" t="s">
        <v>273</v>
      </c>
      <c r="E8" s="146">
        <f>SUM(E5:E7)</f>
        <v>0</v>
      </c>
      <c r="F8" s="155" t="s">
        <v>6</v>
      </c>
      <c r="G8" s="146">
        <f>C8-E8</f>
        <v>5997500</v>
      </c>
    </row>
    <row r="9" spans="2:7" ht="13.5" customHeight="1">
      <c r="B9" s="12" t="s">
        <v>6</v>
      </c>
      <c r="C9" s="13">
        <f>G8</f>
        <v>5997500</v>
      </c>
      <c r="D9" s="300" t="s">
        <v>271</v>
      </c>
      <c r="E9" s="302">
        <f>'Tableau de résultat N+1'!C5+'Tableau de résultat N+1'!C6+'Tableau de résultat N+1'!C7</f>
        <v>2878400</v>
      </c>
      <c r="F9" s="148"/>
      <c r="G9" s="15"/>
    </row>
    <row r="10" spans="2:7" ht="13.5" customHeight="1" thickBot="1">
      <c r="B10" s="12" t="s">
        <v>7</v>
      </c>
      <c r="C10" s="13">
        <f>G4</f>
        <v>0</v>
      </c>
      <c r="D10" s="301"/>
      <c r="E10" s="303"/>
      <c r="F10" s="148"/>
      <c r="G10" s="15"/>
    </row>
    <row r="11" spans="2:7" s="145" customFormat="1" ht="13.5" customHeight="1" thickBot="1">
      <c r="B11" s="152" t="s">
        <v>273</v>
      </c>
      <c r="C11" s="146">
        <f>SUM(C9:C10)</f>
        <v>5997500</v>
      </c>
      <c r="D11" s="152" t="s">
        <v>273</v>
      </c>
      <c r="E11" s="146">
        <f>SUM(E9:E10)</f>
        <v>2878400</v>
      </c>
      <c r="F11" s="155" t="s">
        <v>9</v>
      </c>
      <c r="G11" s="146">
        <f>C11-E11</f>
        <v>3119100</v>
      </c>
    </row>
    <row r="12" spans="2:7" ht="13.5" customHeight="1">
      <c r="B12" s="12" t="s">
        <v>9</v>
      </c>
      <c r="C12" s="13">
        <f>G11</f>
        <v>3119100</v>
      </c>
      <c r="D12" s="12" t="s">
        <v>17</v>
      </c>
      <c r="E12" s="13">
        <f>'Tableau de résultat N+1'!C9</f>
        <v>226000</v>
      </c>
      <c r="F12" s="148"/>
      <c r="G12" s="15"/>
    </row>
    <row r="13" spans="2:7" ht="13.5" customHeight="1" thickBot="1">
      <c r="B13" s="12" t="s">
        <v>45</v>
      </c>
      <c r="C13" s="13"/>
      <c r="D13" s="12" t="s">
        <v>18</v>
      </c>
      <c r="E13" s="13">
        <f>'Tableau de résultat N+1'!C12+'Tableau de résultat N+1'!C13</f>
        <v>1331100</v>
      </c>
      <c r="F13" s="154"/>
      <c r="G13" s="15"/>
    </row>
    <row r="14" spans="2:7" s="145" customFormat="1" ht="13.5" customHeight="1" thickBot="1">
      <c r="B14" s="152" t="s">
        <v>273</v>
      </c>
      <c r="C14" s="146">
        <f>SUM(C12:C13)</f>
        <v>3119100</v>
      </c>
      <c r="D14" s="152" t="s">
        <v>273</v>
      </c>
      <c r="E14" s="146">
        <f>SUM(E12:E13)</f>
        <v>1557100</v>
      </c>
      <c r="F14" s="155" t="s">
        <v>266</v>
      </c>
      <c r="G14" s="146">
        <f>C14-E14</f>
        <v>1562000</v>
      </c>
    </row>
    <row r="15" spans="2:7" ht="13.5" customHeight="1">
      <c r="B15" s="149" t="s">
        <v>10</v>
      </c>
      <c r="C15" s="69">
        <f>IF(G14&gt;0,G14,0)</f>
        <v>1562000</v>
      </c>
      <c r="D15" s="149" t="s">
        <v>50</v>
      </c>
      <c r="E15" s="69">
        <f>-IF(G14&lt;0,G14,0)</f>
        <v>0</v>
      </c>
      <c r="F15" s="147"/>
      <c r="G15" s="16"/>
    </row>
    <row r="16" spans="2:7" ht="30">
      <c r="B16" s="14" t="s">
        <v>272</v>
      </c>
      <c r="C16" s="13">
        <f>'Tableau de résultat N+1'!E17</f>
        <v>161000</v>
      </c>
      <c r="D16" s="14" t="s">
        <v>240</v>
      </c>
      <c r="E16" s="13">
        <f>SUM('Tableau de résultat N+1'!C16:C19)</f>
        <v>551500</v>
      </c>
      <c r="F16" s="148"/>
      <c r="G16" s="15"/>
    </row>
    <row r="17" spans="2:7" ht="13.5" customHeight="1" thickBot="1">
      <c r="B17" s="12" t="s">
        <v>11</v>
      </c>
      <c r="C17" s="13">
        <f>'Tableau de résultat N+1'!E21</f>
        <v>14000</v>
      </c>
      <c r="D17" s="12" t="s">
        <v>19</v>
      </c>
      <c r="E17" s="13">
        <f>'Tableau de résultat N+1'!C21</f>
        <v>0</v>
      </c>
      <c r="F17" s="148"/>
      <c r="G17" s="15"/>
    </row>
    <row r="18" spans="2:7" s="145" customFormat="1" ht="13.5" customHeight="1" thickBot="1">
      <c r="B18" s="152" t="s">
        <v>273</v>
      </c>
      <c r="C18" s="146">
        <f>SUM(C15:C17)</f>
        <v>1737000</v>
      </c>
      <c r="D18" s="152" t="s">
        <v>273</v>
      </c>
      <c r="E18" s="146">
        <f>SUM(E15:E17)</f>
        <v>551500</v>
      </c>
      <c r="F18" s="155" t="s">
        <v>12</v>
      </c>
      <c r="G18" s="146">
        <f>C18-E18</f>
        <v>1185500</v>
      </c>
    </row>
    <row r="19" spans="2:7" ht="13.5" customHeight="1">
      <c r="B19" s="149" t="s">
        <v>46</v>
      </c>
      <c r="C19" s="69">
        <f>IF(G18&gt;0,G18,"")</f>
        <v>1185500</v>
      </c>
      <c r="D19" s="149" t="s">
        <v>51</v>
      </c>
      <c r="E19" s="69">
        <f>-IF(G18&lt;0,G18,0)</f>
        <v>0</v>
      </c>
      <c r="F19" s="147"/>
      <c r="G19" s="16"/>
    </row>
    <row r="20" spans="2:7" ht="30">
      <c r="B20" s="14" t="s">
        <v>270</v>
      </c>
      <c r="C20" s="13"/>
      <c r="D20" s="14" t="s">
        <v>270</v>
      </c>
      <c r="E20" s="13"/>
      <c r="F20" s="148"/>
      <c r="G20" s="15"/>
    </row>
    <row r="21" spans="2:7" ht="13.5" customHeight="1" thickBot="1">
      <c r="B21" s="12" t="s">
        <v>13</v>
      </c>
      <c r="C21" s="13">
        <f>'Tableau de résultat N+1'!E31</f>
        <v>36850</v>
      </c>
      <c r="D21" s="12" t="s">
        <v>20</v>
      </c>
      <c r="E21" s="13">
        <f>'Tableau de résultat N+1'!C31</f>
        <v>68450</v>
      </c>
      <c r="F21" s="154"/>
      <c r="G21" s="8"/>
    </row>
    <row r="22" spans="2:7" s="145" customFormat="1" ht="13.5" customHeight="1" thickBot="1">
      <c r="B22" s="152" t="s">
        <v>273</v>
      </c>
      <c r="C22" s="146">
        <f>SUM(C19:C21)</f>
        <v>1222350</v>
      </c>
      <c r="D22" s="152" t="s">
        <v>273</v>
      </c>
      <c r="E22" s="146">
        <f>SUM(E19:E21)</f>
        <v>68450</v>
      </c>
      <c r="F22" s="155" t="s">
        <v>15</v>
      </c>
      <c r="G22" s="144">
        <f>C22-E22</f>
        <v>1153900</v>
      </c>
    </row>
    <row r="23" spans="2:7" ht="13.5" customHeight="1" thickBot="1">
      <c r="B23" s="153" t="s">
        <v>14</v>
      </c>
      <c r="C23" s="144">
        <f>'Tableau de résultat N+1'!E37</f>
        <v>80350</v>
      </c>
      <c r="D23" s="153" t="s">
        <v>21</v>
      </c>
      <c r="E23" s="144">
        <f>'Tableau de résultat N+1'!C37</f>
        <v>22500</v>
      </c>
      <c r="F23" s="157" t="s">
        <v>16</v>
      </c>
      <c r="G23" s="144">
        <f>C23-E23</f>
        <v>57850</v>
      </c>
    </row>
    <row r="24" spans="2:7" ht="13.5" customHeight="1">
      <c r="B24" s="149" t="s">
        <v>15</v>
      </c>
      <c r="C24" s="69">
        <f>IF(G22&gt;0,G22,0)</f>
        <v>1153900</v>
      </c>
      <c r="D24" s="149" t="s">
        <v>47</v>
      </c>
      <c r="E24" s="69">
        <f>-IF(G22&lt;0,G22,0)</f>
        <v>0</v>
      </c>
      <c r="F24" s="147"/>
      <c r="G24" s="16"/>
    </row>
    <row r="25" spans="2:7" ht="13.5" customHeight="1">
      <c r="B25" s="12" t="s">
        <v>49</v>
      </c>
      <c r="C25" s="13">
        <f>IF(G23&gt;0,G23,0)</f>
        <v>57850</v>
      </c>
      <c r="D25" s="12" t="s">
        <v>48</v>
      </c>
      <c r="E25" s="13">
        <f>-IF(G23&lt;0,G23,0)</f>
        <v>0</v>
      </c>
      <c r="F25" s="148"/>
      <c r="G25" s="15"/>
    </row>
    <row r="26" spans="2:7" ht="13.5" customHeight="1">
      <c r="B26" s="12"/>
      <c r="C26" s="13"/>
      <c r="D26" s="12" t="s">
        <v>22</v>
      </c>
      <c r="E26" s="13">
        <f>'Tableau de résultat N+1'!C38</f>
        <v>49750</v>
      </c>
      <c r="F26" s="148"/>
      <c r="G26" s="15"/>
    </row>
    <row r="27" spans="2:7" ht="13.5" customHeight="1" thickBot="1">
      <c r="B27" s="12"/>
      <c r="C27" s="13"/>
      <c r="D27" s="12" t="s">
        <v>23</v>
      </c>
      <c r="E27" s="13">
        <f>'Tableau de résultat N+1'!C39</f>
        <v>347000</v>
      </c>
      <c r="F27" s="148"/>
      <c r="G27" s="15"/>
    </row>
    <row r="28" spans="2:7" s="145" customFormat="1" ht="13.5" customHeight="1" thickBot="1">
      <c r="B28" s="152" t="s">
        <v>273</v>
      </c>
      <c r="C28" s="146">
        <f>SUM(C24:C27)</f>
        <v>1211750</v>
      </c>
      <c r="D28" s="152" t="s">
        <v>273</v>
      </c>
      <c r="E28" s="146">
        <f>SUM(E24:E27)</f>
        <v>396750</v>
      </c>
      <c r="F28" s="155" t="s">
        <v>24</v>
      </c>
      <c r="G28" s="158">
        <f>C28-E28</f>
        <v>815000</v>
      </c>
    </row>
    <row r="29" spans="2:7" ht="30.75" thickBot="1">
      <c r="B29" s="156" t="s">
        <v>267</v>
      </c>
      <c r="C29" s="159">
        <f>'Tableau de résultat N+1'!E34</f>
        <v>50350</v>
      </c>
      <c r="D29" s="156" t="s">
        <v>268</v>
      </c>
      <c r="E29" s="159">
        <f>'Tableau de résultat N+1'!C34</f>
        <v>22500</v>
      </c>
      <c r="F29" s="160" t="s">
        <v>269</v>
      </c>
      <c r="G29" s="161">
        <f>C29-E29</f>
        <v>27850</v>
      </c>
    </row>
  </sheetData>
  <sheetProtection/>
  <mergeCells count="7">
    <mergeCell ref="D9:D10"/>
    <mergeCell ref="E9:E10"/>
    <mergeCell ref="B2:G2"/>
    <mergeCell ref="B1:G1"/>
    <mergeCell ref="B3:C3"/>
    <mergeCell ref="D3:E3"/>
    <mergeCell ref="F3:G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21">
      <selection activeCell="E26" sqref="E26"/>
    </sheetView>
  </sheetViews>
  <sheetFormatPr defaultColWidth="11.421875" defaultRowHeight="12.75"/>
  <cols>
    <col min="1" max="1" width="3.7109375" style="72" customWidth="1"/>
    <col min="2" max="2" width="59.140625" style="72" bestFit="1" customWidth="1"/>
    <col min="3" max="3" width="14.7109375" style="72" customWidth="1"/>
    <col min="4" max="4" width="14.57421875" style="72" customWidth="1"/>
    <col min="5" max="16384" width="11.421875" style="72" customWidth="1"/>
  </cols>
  <sheetData>
    <row r="1" spans="1:2" ht="16.5" thickBot="1">
      <c r="A1" s="315"/>
      <c r="B1" s="315"/>
    </row>
    <row r="2" spans="2:5" ht="16.5" thickBot="1">
      <c r="B2" s="312" t="s">
        <v>274</v>
      </c>
      <c r="C2" s="313"/>
      <c r="D2" s="314"/>
      <c r="E2" s="166"/>
    </row>
    <row r="3" spans="2:5" ht="16.5" thickBot="1">
      <c r="B3" s="179"/>
      <c r="C3" s="179"/>
      <c r="D3" s="179"/>
      <c r="E3" s="166"/>
    </row>
    <row r="4" spans="2:5" ht="16.5" thickBot="1">
      <c r="B4" s="168" t="s">
        <v>275</v>
      </c>
      <c r="C4" s="169" t="s">
        <v>30</v>
      </c>
      <c r="D4" s="169" t="s">
        <v>31</v>
      </c>
      <c r="E4" s="166"/>
    </row>
    <row r="5" spans="2:5" ht="15.75">
      <c r="B5" s="170" t="s">
        <v>276</v>
      </c>
      <c r="C5" s="162"/>
      <c r="D5" s="162">
        <f>SIG!G14</f>
        <v>1562000</v>
      </c>
      <c r="E5" s="166"/>
    </row>
    <row r="6" spans="2:5" ht="15.75">
      <c r="B6" s="165" t="s">
        <v>221</v>
      </c>
      <c r="C6" s="164"/>
      <c r="D6" s="164">
        <f>'Tableau de résultat N+1'!C43</f>
        <v>160000</v>
      </c>
      <c r="E6" s="166"/>
    </row>
    <row r="7" spans="2:5" ht="15.75">
      <c r="B7" s="165" t="s">
        <v>11</v>
      </c>
      <c r="C7" s="164"/>
      <c r="D7" s="164">
        <f>'Tableau de résultat N+1'!E21</f>
        <v>14000</v>
      </c>
      <c r="E7" s="166"/>
    </row>
    <row r="8" spans="2:5" ht="15.75">
      <c r="B8" s="165" t="s">
        <v>277</v>
      </c>
      <c r="C8" s="164"/>
      <c r="D8" s="164"/>
      <c r="E8" s="166"/>
    </row>
    <row r="9" spans="2:5" ht="15.75">
      <c r="B9" s="165" t="s">
        <v>278</v>
      </c>
      <c r="C9" s="164"/>
      <c r="D9" s="164">
        <f>'Tableau de résultat N+1'!E24</f>
        <v>12420</v>
      </c>
      <c r="E9" s="166"/>
    </row>
    <row r="10" spans="2:5" ht="15.75">
      <c r="B10" s="165" t="s">
        <v>279</v>
      </c>
      <c r="C10" s="164"/>
      <c r="D10" s="164"/>
      <c r="E10" s="166"/>
    </row>
    <row r="11" spans="2:5" ht="15.75">
      <c r="B11" s="165" t="s">
        <v>280</v>
      </c>
      <c r="C11" s="164"/>
      <c r="D11" s="164">
        <f>'Tableau de résultat N+1'!E27</f>
        <v>9540</v>
      </c>
      <c r="E11" s="166"/>
    </row>
    <row r="12" spans="2:5" ht="15.75">
      <c r="B12" s="165" t="s">
        <v>281</v>
      </c>
      <c r="C12" s="164"/>
      <c r="D12" s="164"/>
      <c r="E12" s="166"/>
    </row>
    <row r="13" spans="2:5" ht="15.75">
      <c r="B13" s="165" t="s">
        <v>169</v>
      </c>
      <c r="C13" s="164"/>
      <c r="D13" s="164"/>
      <c r="E13" s="166"/>
    </row>
    <row r="14" spans="2:5" ht="15.75">
      <c r="B14" s="165" t="s">
        <v>170</v>
      </c>
      <c r="C14" s="164"/>
      <c r="D14" s="164">
        <f>'Tableau de résultat N+1'!E30</f>
        <v>14890</v>
      </c>
      <c r="E14" s="166"/>
    </row>
    <row r="15" spans="2:5" ht="15.75">
      <c r="B15" s="165" t="s">
        <v>246</v>
      </c>
      <c r="C15" s="164"/>
      <c r="D15" s="164"/>
      <c r="E15" s="166"/>
    </row>
    <row r="16" spans="2:5" ht="15.75">
      <c r="B16" s="165" t="s">
        <v>289</v>
      </c>
      <c r="C16" s="164"/>
      <c r="D16" s="164"/>
      <c r="E16" s="166"/>
    </row>
    <row r="17" spans="2:5" ht="16.5" thickBot="1">
      <c r="B17" s="171" t="s">
        <v>282</v>
      </c>
      <c r="C17" s="164"/>
      <c r="D17" s="172"/>
      <c r="E17" s="166"/>
    </row>
    <row r="18" spans="2:5" ht="16.5" thickBot="1">
      <c r="B18" s="188" t="s">
        <v>283</v>
      </c>
      <c r="C18" s="74"/>
      <c r="D18" s="174">
        <f>SUM(D5:D17)</f>
        <v>1772850</v>
      </c>
      <c r="E18" s="166"/>
    </row>
    <row r="19" spans="2:5" ht="15.75">
      <c r="B19" s="163" t="s">
        <v>19</v>
      </c>
      <c r="C19" s="162"/>
      <c r="D19" s="162"/>
      <c r="E19" s="166"/>
    </row>
    <row r="20" spans="2:5" ht="15.75">
      <c r="B20" s="165" t="s">
        <v>277</v>
      </c>
      <c r="C20" s="164"/>
      <c r="D20" s="164"/>
      <c r="E20" s="166"/>
    </row>
    <row r="21" spans="2:5" ht="15.75">
      <c r="B21" s="165" t="s">
        <v>286</v>
      </c>
      <c r="C21" s="164">
        <f>'Tableau de résultat N+1'!C25</f>
        <v>55250</v>
      </c>
      <c r="D21" s="164"/>
      <c r="E21" s="166"/>
    </row>
    <row r="22" spans="2:5" ht="15.75">
      <c r="B22" s="165" t="s">
        <v>162</v>
      </c>
      <c r="C22" s="164">
        <f>'Tableau de résultat N+1'!C29</f>
        <v>11200</v>
      </c>
      <c r="D22" s="164"/>
      <c r="E22" s="166"/>
    </row>
    <row r="23" spans="2:5" ht="15.75">
      <c r="B23" s="165" t="s">
        <v>287</v>
      </c>
      <c r="C23" s="164">
        <f>'Tableau de résultat N+1'!C30</f>
        <v>0</v>
      </c>
      <c r="D23" s="164"/>
      <c r="E23" s="166"/>
    </row>
    <row r="24" spans="2:5" ht="15.75">
      <c r="B24" s="165" t="s">
        <v>288</v>
      </c>
      <c r="C24" s="164">
        <f>'Tableau de résultat N+1'!C33</f>
        <v>0</v>
      </c>
      <c r="D24" s="164"/>
      <c r="E24" s="166"/>
    </row>
    <row r="25" spans="2:5" ht="15.75">
      <c r="B25" s="165" t="s">
        <v>290</v>
      </c>
      <c r="C25" s="164"/>
      <c r="D25" s="164"/>
      <c r="E25" s="166"/>
    </row>
    <row r="26" spans="2:5" ht="15.75">
      <c r="B26" s="165" t="s">
        <v>22</v>
      </c>
      <c r="C26" s="164">
        <f>'Tableau de résultat N+1'!C38</f>
        <v>49750</v>
      </c>
      <c r="D26" s="164"/>
      <c r="E26" s="166"/>
    </row>
    <row r="27" spans="2:5" ht="16.5" thickBot="1">
      <c r="B27" s="165" t="s">
        <v>23</v>
      </c>
      <c r="C27" s="164">
        <f>SIG!E27</f>
        <v>347000</v>
      </c>
      <c r="D27" s="164"/>
      <c r="E27" s="166"/>
    </row>
    <row r="28" spans="2:5" ht="16.5" thickBot="1">
      <c r="B28" s="175" t="s">
        <v>284</v>
      </c>
      <c r="C28" s="174">
        <f>SUM(C19:C27)</f>
        <v>463200</v>
      </c>
      <c r="D28" s="74"/>
      <c r="E28" s="166"/>
    </row>
    <row r="29" spans="2:5" ht="16.5" thickBot="1">
      <c r="B29" s="177" t="s">
        <v>285</v>
      </c>
      <c r="C29" s="176">
        <f>IF(D18&lt;C28,C28-D18,"")</f>
      </c>
      <c r="D29" s="189">
        <f>IF(D18&gt;C28,D18-C28,"")</f>
        <v>1309650</v>
      </c>
      <c r="E29" s="166"/>
    </row>
    <row r="30" spans="2:5" ht="16.5" thickBot="1">
      <c r="B30" s="167"/>
      <c r="C30" s="167"/>
      <c r="D30" s="167"/>
      <c r="E30" s="166"/>
    </row>
    <row r="31" spans="2:4" ht="16.5" thickBot="1">
      <c r="B31" s="168" t="s">
        <v>291</v>
      </c>
      <c r="C31" s="169" t="s">
        <v>30</v>
      </c>
      <c r="D31" s="178" t="s">
        <v>31</v>
      </c>
    </row>
    <row r="32" spans="2:4" ht="15.75">
      <c r="B32" s="170" t="s">
        <v>298</v>
      </c>
      <c r="C32" s="162"/>
      <c r="D32" s="185">
        <f>'Tableau de résultat N+1'!C41</f>
        <v>815000</v>
      </c>
    </row>
    <row r="33" spans="2:4" ht="15.75">
      <c r="B33" s="165" t="s">
        <v>294</v>
      </c>
      <c r="C33" s="164"/>
      <c r="D33" s="186">
        <f>SIG!E16</f>
        <v>551500</v>
      </c>
    </row>
    <row r="34" spans="2:4" ht="15.75">
      <c r="B34" s="165" t="s">
        <v>295</v>
      </c>
      <c r="C34" s="164"/>
      <c r="D34" s="186">
        <f>'Tableau de résultat N+1'!C24</f>
        <v>2000</v>
      </c>
    </row>
    <row r="35" spans="2:4" ht="15.75">
      <c r="B35" s="165" t="s">
        <v>296</v>
      </c>
      <c r="C35" s="164"/>
      <c r="D35" s="186"/>
    </row>
    <row r="36" spans="2:4" ht="16.5" thickBot="1">
      <c r="B36" s="171" t="s">
        <v>297</v>
      </c>
      <c r="C36" s="164"/>
      <c r="D36" s="187">
        <f>'Tableau de résultat N+1'!C34</f>
        <v>22500</v>
      </c>
    </row>
    <row r="37" spans="2:4" ht="16.5" thickBot="1">
      <c r="B37" s="173" t="s">
        <v>292</v>
      </c>
      <c r="C37" s="74"/>
      <c r="D37" s="182">
        <f>SUM(D32:D36)-C32</f>
        <v>1391000</v>
      </c>
    </row>
    <row r="38" spans="2:4" ht="15.75">
      <c r="B38" s="163" t="s">
        <v>299</v>
      </c>
      <c r="C38" s="162">
        <f>'Tableau de résultat N+1'!E17-'Tableau de résultat N+1'!C43</f>
        <v>1000</v>
      </c>
      <c r="D38" s="180"/>
    </row>
    <row r="39" spans="2:4" ht="15.75">
      <c r="B39" s="165" t="s">
        <v>300</v>
      </c>
      <c r="C39" s="164">
        <f>'Tableau de résultat N+1'!E28</f>
        <v>0</v>
      </c>
      <c r="D39" s="181"/>
    </row>
    <row r="40" spans="2:4" ht="15.75">
      <c r="B40" s="165" t="s">
        <v>301</v>
      </c>
      <c r="C40" s="164"/>
      <c r="D40" s="181"/>
    </row>
    <row r="41" spans="2:4" ht="15.75">
      <c r="B41" s="165" t="s">
        <v>267</v>
      </c>
      <c r="C41" s="164">
        <f>'Tableau de résultat N+1'!E34</f>
        <v>50350</v>
      </c>
      <c r="D41" s="181"/>
    </row>
    <row r="42" spans="2:4" ht="16.5" thickBot="1">
      <c r="B42" s="171" t="s">
        <v>302</v>
      </c>
      <c r="C42" s="172">
        <f>'Tableau de résultat N+1'!E35</f>
        <v>30000</v>
      </c>
      <c r="D42" s="73"/>
    </row>
    <row r="43" spans="2:4" ht="16.5" thickBot="1">
      <c r="B43" s="173" t="s">
        <v>293</v>
      </c>
      <c r="C43" s="174">
        <f>SUM(C38:C42)</f>
        <v>81350</v>
      </c>
      <c r="D43" s="74"/>
    </row>
    <row r="44" spans="2:4" ht="16.5" thickBot="1">
      <c r="B44" s="183" t="s">
        <v>32</v>
      </c>
      <c r="C44" s="74">
        <f>IF(D37&lt;C43,C43-D37,"")</f>
      </c>
      <c r="D44" s="184">
        <f>IF(D37&gt;C43,D37-C43,"")</f>
        <v>1309650</v>
      </c>
    </row>
  </sheetData>
  <sheetProtection/>
  <mergeCells count="2"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H9" sqref="H9"/>
    </sheetView>
  </sheetViews>
  <sheetFormatPr defaultColWidth="11.421875" defaultRowHeight="12.75"/>
  <cols>
    <col min="1" max="1" width="11.421875" style="191" customWidth="1"/>
    <col min="2" max="2" width="19.28125" style="191" bestFit="1" customWidth="1"/>
    <col min="3" max="5" width="13.7109375" style="191" customWidth="1"/>
    <col min="6" max="16384" width="11.421875" style="191" customWidth="1"/>
  </cols>
  <sheetData>
    <row r="1" spans="2:5" s="190" customFormat="1" ht="19.5" customHeight="1" thickBot="1">
      <c r="B1" s="319"/>
      <c r="C1" s="319"/>
      <c r="D1" s="319"/>
      <c r="E1" s="319"/>
    </row>
    <row r="2" spans="2:5" ht="19.5" customHeight="1" thickBot="1">
      <c r="B2" s="316" t="s">
        <v>303</v>
      </c>
      <c r="C2" s="317"/>
      <c r="D2" s="317"/>
      <c r="E2" s="318"/>
    </row>
    <row r="3" spans="2:5" ht="19.5" customHeight="1" thickBot="1">
      <c r="B3" s="192" t="s">
        <v>229</v>
      </c>
      <c r="C3" s="193">
        <f>'Bilan N'!G15</f>
        <v>598000</v>
      </c>
      <c r="D3" s="194" t="s">
        <v>231</v>
      </c>
      <c r="E3" s="195" t="s">
        <v>25</v>
      </c>
    </row>
    <row r="4" spans="2:5" ht="19.5" customHeight="1">
      <c r="B4" s="196" t="s">
        <v>62</v>
      </c>
      <c r="C4" s="193">
        <f>D4-E4</f>
        <v>20000</v>
      </c>
      <c r="D4" s="193">
        <f>'Bilan N+1'!G9</f>
        <v>220000</v>
      </c>
      <c r="E4" s="197">
        <f>'Bilan N'!G9</f>
        <v>200000</v>
      </c>
    </row>
    <row r="5" spans="2:5" ht="19.5" customHeight="1">
      <c r="B5" s="198" t="s">
        <v>197</v>
      </c>
      <c r="C5" s="199">
        <f>D5-E5</f>
        <v>268000</v>
      </c>
      <c r="D5" s="199">
        <f>'Bilan N+1'!G10+'Bilan N+1'!G11+'Bilan N+1'!G12+'Bilan N+1'!C50</f>
        <v>478000</v>
      </c>
      <c r="E5" s="200">
        <f>'Bilan N'!G10+'Bilan N'!G11+'Bilan N'!G12</f>
        <v>210000</v>
      </c>
    </row>
    <row r="6" spans="2:5" ht="19.5" customHeight="1" thickBot="1">
      <c r="B6" s="201" t="s">
        <v>66</v>
      </c>
      <c r="C6" s="202">
        <f>D6-E6</f>
        <v>10000</v>
      </c>
      <c r="D6" s="202">
        <f>'Bilan N+1'!G13</f>
        <v>18000</v>
      </c>
      <c r="E6" s="203">
        <f>'Bilan N'!G13</f>
        <v>8000</v>
      </c>
    </row>
    <row r="7" spans="2:5" ht="9" customHeight="1" thickBot="1">
      <c r="B7" s="204"/>
      <c r="C7" s="205"/>
      <c r="D7" s="205"/>
      <c r="E7" s="204"/>
    </row>
    <row r="8" spans="2:5" ht="19.5" customHeight="1" thickBot="1">
      <c r="B8" s="206" t="s">
        <v>230</v>
      </c>
      <c r="C8" s="207">
        <f>C3-SUM(C4:C6)</f>
        <v>300000</v>
      </c>
      <c r="D8" s="205"/>
      <c r="E8" s="204"/>
    </row>
    <row r="9" spans="2:5" ht="15.75">
      <c r="B9" s="204"/>
      <c r="C9" s="204"/>
      <c r="D9" s="204"/>
      <c r="E9" s="204"/>
    </row>
    <row r="10" spans="2:5" ht="15.75">
      <c r="B10" s="204"/>
      <c r="C10" s="204"/>
      <c r="D10" s="204"/>
      <c r="E10" s="204"/>
    </row>
    <row r="13" ht="15.75">
      <c r="E13" s="204"/>
    </row>
  </sheetData>
  <sheetProtection/>
  <mergeCells count="2">
    <mergeCell ref="B2:E2"/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91" customWidth="1"/>
    <col min="2" max="2" width="23.28125" style="191" customWidth="1"/>
    <col min="3" max="4" width="13.7109375" style="191" customWidth="1"/>
    <col min="5" max="5" width="23.28125" style="191" customWidth="1"/>
    <col min="6" max="7" width="13.7109375" style="191" customWidth="1"/>
    <col min="8" max="16384" width="11.421875" style="191" customWidth="1"/>
  </cols>
  <sheetData>
    <row r="1" spans="2:3" ht="15" customHeight="1" thickBot="1">
      <c r="B1" s="209"/>
      <c r="C1" s="210"/>
    </row>
    <row r="2" spans="2:7" ht="15" customHeight="1" thickBot="1">
      <c r="B2" s="320" t="s">
        <v>304</v>
      </c>
      <c r="C2" s="321"/>
      <c r="D2" s="321"/>
      <c r="E2" s="321"/>
      <c r="F2" s="321"/>
      <c r="G2" s="322"/>
    </row>
    <row r="3" spans="2:7" ht="15" customHeight="1" thickBot="1">
      <c r="B3" s="214" t="s">
        <v>52</v>
      </c>
      <c r="C3" s="215" t="s">
        <v>25</v>
      </c>
      <c r="D3" s="215" t="s">
        <v>235</v>
      </c>
      <c r="E3" s="216" t="s">
        <v>54</v>
      </c>
      <c r="F3" s="217" t="s">
        <v>25</v>
      </c>
      <c r="G3" s="218" t="s">
        <v>235</v>
      </c>
    </row>
    <row r="4" spans="2:7" ht="19.5" customHeight="1">
      <c r="B4" s="219" t="s">
        <v>305</v>
      </c>
      <c r="C4" s="220">
        <f>'Bilan N'!C27</f>
        <v>4888000</v>
      </c>
      <c r="D4" s="220">
        <f>'Bilan N+1'!C27</f>
        <v>5532000</v>
      </c>
      <c r="E4" s="221" t="s">
        <v>310</v>
      </c>
      <c r="F4" s="220">
        <f>'Bilan N'!G24+'Bilan N'!G27+'Bilan N'!G32+'Bilan N'!G33+'Bilan N'!D46-'Bilan N'!G48-'Bilan N'!C42</f>
        <v>6456500</v>
      </c>
      <c r="G4" s="220">
        <f>'Bilan N+1'!G24+'Bilan N+1'!G27+'Bilan N+1'!G32+'Bilan N+1'!G33+'Bilan N+1'!D46-'Bilan N+1'!G48-'Bilan N+1'!C42</f>
        <v>7443900</v>
      </c>
    </row>
    <row r="5" spans="2:7" ht="19.5" customHeight="1">
      <c r="B5" s="222" t="s">
        <v>306</v>
      </c>
      <c r="C5" s="223">
        <f>SUM('Bilan N'!C30:C36)</f>
        <v>1969000</v>
      </c>
      <c r="D5" s="223">
        <f>SUM('Bilan N+1'!C30:C36)</f>
        <v>2720000</v>
      </c>
      <c r="E5" s="224" t="s">
        <v>311</v>
      </c>
      <c r="F5" s="223">
        <f>SUM('Bilan N'!G36:G37)</f>
        <v>286000</v>
      </c>
      <c r="G5" s="223">
        <f>SUM('Bilan N+1'!G36:G37)</f>
        <v>348000</v>
      </c>
    </row>
    <row r="6" spans="2:7" ht="19.5" customHeight="1">
      <c r="B6" s="222" t="s">
        <v>307</v>
      </c>
      <c r="C6" s="223">
        <f>'Bilan N'!C39</f>
        <v>94000</v>
      </c>
      <c r="D6" s="223">
        <f>'Bilan N+1'!C37+'Bilan N+1'!C39</f>
        <v>67000</v>
      </c>
      <c r="E6" s="224" t="s">
        <v>312</v>
      </c>
      <c r="F6" s="223">
        <f>SUM('Bilan N'!G40:G42)</f>
        <v>312000</v>
      </c>
      <c r="G6" s="223">
        <f>SUM('Bilan N+1'!G40:G42)</f>
        <v>465100</v>
      </c>
    </row>
    <row r="7" spans="2:7" ht="19.5" customHeight="1" thickBot="1">
      <c r="B7" s="225" t="s">
        <v>308</v>
      </c>
      <c r="C7" s="226">
        <f>'Bilan N'!C40</f>
        <v>118500</v>
      </c>
      <c r="D7" s="226">
        <f>'Bilan N+1'!C40</f>
        <v>32000</v>
      </c>
      <c r="E7" s="227" t="s">
        <v>308</v>
      </c>
      <c r="F7" s="226">
        <f>'Bilan N'!G48</f>
        <v>15000</v>
      </c>
      <c r="G7" s="226">
        <f>'Bilan N+1'!G48</f>
        <v>94000</v>
      </c>
    </row>
    <row r="8" spans="2:7" ht="15" customHeight="1" thickBot="1">
      <c r="B8" s="213" t="s">
        <v>309</v>
      </c>
      <c r="C8" s="228">
        <f>SUM(C4:C7)</f>
        <v>7069500</v>
      </c>
      <c r="D8" s="229">
        <f>SUM(D4:D7)</f>
        <v>8351000</v>
      </c>
      <c r="E8" s="213" t="s">
        <v>309</v>
      </c>
      <c r="F8" s="228">
        <f>SUM(F4:F7)</f>
        <v>7069500</v>
      </c>
      <c r="G8" s="229">
        <f>SUM(G4:G7)</f>
        <v>8351000</v>
      </c>
    </row>
    <row r="9" ht="15" customHeight="1"/>
    <row r="10" spans="4:6" ht="15" customHeight="1">
      <c r="D10" s="211"/>
      <c r="F10" s="211"/>
    </row>
    <row r="11" ht="15.75">
      <c r="C11" s="211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D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G19" sqref="G19"/>
    </sheetView>
  </sheetViews>
  <sheetFormatPr defaultColWidth="11.421875" defaultRowHeight="12.75"/>
  <cols>
    <col min="1" max="1" width="3.7109375" style="72" customWidth="1"/>
    <col min="2" max="2" width="2.28125" style="232" bestFit="1" customWidth="1"/>
    <col min="3" max="3" width="58.8515625" style="72" bestFit="1" customWidth="1"/>
    <col min="4" max="6" width="13.28125" style="72" customWidth="1"/>
    <col min="7" max="16384" width="11.421875" style="72" customWidth="1"/>
  </cols>
  <sheetData>
    <row r="1" spans="3:4" ht="16.5" thickBot="1">
      <c r="C1" s="70"/>
      <c r="D1" s="71"/>
    </row>
    <row r="2" spans="2:6" ht="16.5" thickBot="1">
      <c r="B2" s="320" t="s">
        <v>313</v>
      </c>
      <c r="C2" s="323"/>
      <c r="D2" s="323"/>
      <c r="E2" s="323"/>
      <c r="F2" s="324"/>
    </row>
    <row r="3" spans="2:6" ht="16.5" thickBot="1">
      <c r="B3" s="325" t="s">
        <v>83</v>
      </c>
      <c r="C3" s="326"/>
      <c r="D3" s="215" t="s">
        <v>55</v>
      </c>
      <c r="E3" s="215" t="s">
        <v>25</v>
      </c>
      <c r="F3" s="233" t="s">
        <v>314</v>
      </c>
    </row>
    <row r="4" spans="2:6" ht="15.75">
      <c r="B4" s="237"/>
      <c r="C4" s="238" t="s">
        <v>87</v>
      </c>
      <c r="D4" s="239">
        <f>'Bilan fonctionnel'!F4</f>
        <v>6456500</v>
      </c>
      <c r="E4" s="240">
        <f>'Bilan fonctionnel'!G4</f>
        <v>7443900</v>
      </c>
      <c r="F4" s="239">
        <f>E4-D4</f>
        <v>987400</v>
      </c>
    </row>
    <row r="5" spans="2:6" ht="16.5" thickBot="1">
      <c r="B5" s="246" t="s">
        <v>84</v>
      </c>
      <c r="C5" s="247" t="s">
        <v>88</v>
      </c>
      <c r="D5" s="248">
        <f>'Bilan fonctionnel'!C4</f>
        <v>4888000</v>
      </c>
      <c r="E5" s="249">
        <f>'Bilan fonctionnel'!D4</f>
        <v>5532000</v>
      </c>
      <c r="F5" s="248">
        <f>E5-D5</f>
        <v>644000</v>
      </c>
    </row>
    <row r="6" spans="2:6" ht="16.5" thickBot="1">
      <c r="B6" s="253" t="s">
        <v>85</v>
      </c>
      <c r="C6" s="252" t="s">
        <v>89</v>
      </c>
      <c r="D6" s="255">
        <f>D4-D5</f>
        <v>1568500</v>
      </c>
      <c r="E6" s="256">
        <f>E4-E5</f>
        <v>1911900</v>
      </c>
      <c r="F6" s="263">
        <f>F4-F5</f>
        <v>343400</v>
      </c>
    </row>
    <row r="7" spans="2:6" ht="15.75">
      <c r="B7" s="237"/>
      <c r="C7" s="238" t="s">
        <v>90</v>
      </c>
      <c r="D7" s="239">
        <f>'Bilan fonctionnel'!C5</f>
        <v>1969000</v>
      </c>
      <c r="E7" s="240">
        <f>'Bilan fonctionnel'!D5</f>
        <v>2720000</v>
      </c>
      <c r="F7" s="239">
        <f>E7-D7</f>
        <v>751000</v>
      </c>
    </row>
    <row r="8" spans="2:6" ht="16.5" thickBot="1">
      <c r="B8" s="241" t="s">
        <v>84</v>
      </c>
      <c r="C8" s="242" t="s">
        <v>91</v>
      </c>
      <c r="D8" s="243">
        <f>'Bilan fonctionnel'!F5</f>
        <v>286000</v>
      </c>
      <c r="E8" s="244">
        <f>'Bilan fonctionnel'!G5</f>
        <v>348000</v>
      </c>
      <c r="F8" s="245">
        <f>E8-D8</f>
        <v>62000</v>
      </c>
    </row>
    <row r="9" spans="2:6" ht="16.5" thickBot="1">
      <c r="B9" s="212" t="s">
        <v>85</v>
      </c>
      <c r="C9" s="251" t="s">
        <v>94</v>
      </c>
      <c r="D9" s="257">
        <f>D7-D8</f>
        <v>1683000</v>
      </c>
      <c r="E9" s="258">
        <f>E7-E8</f>
        <v>2372000</v>
      </c>
      <c r="F9" s="254">
        <f>F7-F8</f>
        <v>689000</v>
      </c>
    </row>
    <row r="10" spans="2:6" ht="15.75">
      <c r="B10" s="241"/>
      <c r="C10" s="242" t="s">
        <v>92</v>
      </c>
      <c r="D10" s="243">
        <f>'Bilan fonctionnel'!C6</f>
        <v>94000</v>
      </c>
      <c r="E10" s="244">
        <f>'Bilan fonctionnel'!D6</f>
        <v>67000</v>
      </c>
      <c r="F10" s="245">
        <f>E10-D10</f>
        <v>-27000</v>
      </c>
    </row>
    <row r="11" spans="2:6" ht="15.75" customHeight="1" thickBot="1">
      <c r="B11" s="241" t="s">
        <v>84</v>
      </c>
      <c r="C11" s="242" t="s">
        <v>93</v>
      </c>
      <c r="D11" s="243">
        <f>'Bilan fonctionnel'!F6</f>
        <v>312000</v>
      </c>
      <c r="E11" s="244">
        <f>'Bilan fonctionnel'!G6</f>
        <v>465100</v>
      </c>
      <c r="F11" s="245">
        <f>E11-D11</f>
        <v>153100</v>
      </c>
    </row>
    <row r="12" spans="2:6" ht="15.75" customHeight="1" thickBot="1">
      <c r="B12" s="212" t="s">
        <v>85</v>
      </c>
      <c r="C12" s="251" t="s">
        <v>100</v>
      </c>
      <c r="D12" s="257">
        <f>D10-D11</f>
        <v>-218000</v>
      </c>
      <c r="E12" s="258">
        <f>E10-E11</f>
        <v>-398100</v>
      </c>
      <c r="F12" s="254">
        <f>F10-F11</f>
        <v>-180100</v>
      </c>
    </row>
    <row r="13" spans="2:6" ht="16.5" thickBot="1">
      <c r="B13" s="212"/>
      <c r="C13" s="251" t="s">
        <v>95</v>
      </c>
      <c r="D13" s="257">
        <f>D9+D12</f>
        <v>1465000</v>
      </c>
      <c r="E13" s="258">
        <f>E9+E12</f>
        <v>1973900</v>
      </c>
      <c r="F13" s="254">
        <f>F9+F12</f>
        <v>508900</v>
      </c>
    </row>
    <row r="14" spans="2:6" ht="15.75">
      <c r="B14" s="241"/>
      <c r="C14" s="242" t="s">
        <v>96</v>
      </c>
      <c r="D14" s="243">
        <f>'Bilan fonctionnel'!C7</f>
        <v>118500</v>
      </c>
      <c r="E14" s="244">
        <f>'Bilan fonctionnel'!D7</f>
        <v>32000</v>
      </c>
      <c r="F14" s="245">
        <f>E14-D14</f>
        <v>-86500</v>
      </c>
    </row>
    <row r="15" spans="2:6" ht="16.5" thickBot="1">
      <c r="B15" s="241" t="s">
        <v>84</v>
      </c>
      <c r="C15" s="242" t="s">
        <v>97</v>
      </c>
      <c r="D15" s="243">
        <f>'Bilan fonctionnel'!F7</f>
        <v>15000</v>
      </c>
      <c r="E15" s="244">
        <f>'Bilan fonctionnel'!G7</f>
        <v>94000</v>
      </c>
      <c r="F15" s="245">
        <f>E15-D15</f>
        <v>79000</v>
      </c>
    </row>
    <row r="16" spans="2:6" ht="16.5" thickBot="1">
      <c r="B16" s="212" t="s">
        <v>85</v>
      </c>
      <c r="C16" s="250" t="s">
        <v>98</v>
      </c>
      <c r="D16" s="257">
        <f>D14-D15</f>
        <v>103500</v>
      </c>
      <c r="E16" s="258">
        <f>E14-E15</f>
        <v>-62000</v>
      </c>
      <c r="F16" s="254">
        <f>E16-D16</f>
        <v>-165500</v>
      </c>
    </row>
    <row r="17" spans="2:6" ht="16.5" thickBot="1">
      <c r="B17" s="325" t="s">
        <v>99</v>
      </c>
      <c r="C17" s="326"/>
      <c r="D17" s="215" t="s">
        <v>55</v>
      </c>
      <c r="E17" s="215" t="s">
        <v>25</v>
      </c>
      <c r="F17" s="233" t="s">
        <v>314</v>
      </c>
    </row>
    <row r="18" spans="2:8" ht="15.75">
      <c r="B18" s="234"/>
      <c r="C18" s="235" t="s">
        <v>86</v>
      </c>
      <c r="D18" s="260">
        <f>D6</f>
        <v>1568500</v>
      </c>
      <c r="E18" s="262">
        <f>E6</f>
        <v>1911900</v>
      </c>
      <c r="F18" s="264">
        <f>F6</f>
        <v>343400</v>
      </c>
      <c r="H18" s="208"/>
    </row>
    <row r="19" spans="2:7" ht="16.5" thickBot="1">
      <c r="B19" s="236"/>
      <c r="C19" s="259" t="s">
        <v>315</v>
      </c>
      <c r="D19" s="261">
        <f>D9+D12+D16</f>
        <v>1568500</v>
      </c>
      <c r="E19" s="176">
        <f>E9+E12+E16</f>
        <v>1911900</v>
      </c>
      <c r="F19" s="265">
        <f>F9+F12+F16</f>
        <v>343400</v>
      </c>
      <c r="G19" s="208"/>
    </row>
    <row r="20" spans="3:6" ht="15.75">
      <c r="C20" s="75"/>
      <c r="D20" s="230"/>
      <c r="E20" s="231"/>
      <c r="F20" s="231"/>
    </row>
  </sheetData>
  <sheetProtection/>
  <mergeCells count="3">
    <mergeCell ref="B2:F2"/>
    <mergeCell ref="B3:C3"/>
    <mergeCell ref="B17:C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3"/>
  <sheetViews>
    <sheetView showGridLines="0" zoomScalePageLayoutView="0" workbookViewId="0" topLeftCell="A1">
      <selection activeCell="C1" sqref="C1:C16384"/>
    </sheetView>
  </sheetViews>
  <sheetFormatPr defaultColWidth="11.421875" defaultRowHeight="12.75"/>
  <cols>
    <col min="1" max="1" width="3.7109375" style="72" customWidth="1"/>
    <col min="2" max="2" width="47.7109375" style="72" customWidth="1"/>
    <col min="3" max="3" width="13.7109375" style="72" customWidth="1"/>
    <col min="4" max="4" width="47.7109375" style="72" customWidth="1"/>
    <col min="5" max="5" width="13.7109375" style="72" customWidth="1"/>
    <col min="6" max="16384" width="11.421875" style="72" customWidth="1"/>
  </cols>
  <sheetData>
    <row r="1" spans="2:3" ht="16.5" thickBot="1">
      <c r="B1" s="70"/>
      <c r="C1" s="71"/>
    </row>
    <row r="2" spans="2:5" ht="16.5" thickBot="1">
      <c r="B2" s="327" t="s">
        <v>316</v>
      </c>
      <c r="C2" s="328"/>
      <c r="D2" s="328"/>
      <c r="E2" s="329"/>
    </row>
    <row r="3" spans="2:5" ht="16.5" thickBot="1">
      <c r="B3" s="169" t="s">
        <v>124</v>
      </c>
      <c r="C3" s="169" t="s">
        <v>33</v>
      </c>
      <c r="D3" s="169" t="s">
        <v>125</v>
      </c>
      <c r="E3" s="169" t="s">
        <v>33</v>
      </c>
    </row>
    <row r="4" spans="2:5" ht="9.75" customHeight="1">
      <c r="B4" s="268"/>
      <c r="C4" s="268"/>
      <c r="D4" s="268"/>
      <c r="E4" s="268"/>
    </row>
    <row r="5" spans="2:5" ht="15.75">
      <c r="B5" s="266" t="s">
        <v>126</v>
      </c>
      <c r="C5" s="164">
        <f>'Affectation du résultat'!C8</f>
        <v>300000</v>
      </c>
      <c r="D5" s="266" t="s">
        <v>127</v>
      </c>
      <c r="E5" s="164">
        <f>CAF!D44</f>
        <v>1309650</v>
      </c>
    </row>
    <row r="6" spans="2:5" ht="9.75" customHeight="1">
      <c r="B6" s="266"/>
      <c r="C6" s="164"/>
      <c r="D6" s="266"/>
      <c r="E6" s="164"/>
    </row>
    <row r="7" spans="2:5" ht="15.75">
      <c r="B7" s="266" t="s">
        <v>128</v>
      </c>
      <c r="C7" s="164"/>
      <c r="D7" s="266" t="s">
        <v>129</v>
      </c>
      <c r="E7" s="164"/>
    </row>
    <row r="8" spans="2:5" ht="15.75">
      <c r="B8" s="266" t="s">
        <v>81</v>
      </c>
      <c r="C8" s="164">
        <f>'Bilan N+1'!C6+'Bilan N+1'!C8-'Bilan N'!C6-'Bilan N'!C8</f>
        <v>0</v>
      </c>
      <c r="D8" s="266" t="s">
        <v>130</v>
      </c>
      <c r="E8" s="164"/>
    </row>
    <row r="9" spans="2:5" ht="15.75">
      <c r="B9" s="266" t="s">
        <v>131</v>
      </c>
      <c r="C9" s="164">
        <f>SUM('Bilan N+1'!C14:C17)-'Bilan N'!C14-'Bilan N'!C15-'Bilan N'!C16-'Bilan N'!C17+'Tableau de résultat N+1'!C45</f>
        <v>825000</v>
      </c>
      <c r="D9" s="266" t="s">
        <v>132</v>
      </c>
      <c r="E9" s="164"/>
    </row>
    <row r="10" spans="2:5" ht="15.75">
      <c r="B10" s="266" t="s">
        <v>133</v>
      </c>
      <c r="C10" s="164">
        <f>'Bilan N+1'!C21+'Bilan N+1'!C26-'Bilan N'!C21-'Bilan N'!C26</f>
        <v>24000</v>
      </c>
      <c r="D10" s="266" t="s">
        <v>134</v>
      </c>
      <c r="E10" s="164">
        <f>'Tableau de résultat N+1'!E34</f>
        <v>50350</v>
      </c>
    </row>
    <row r="11" spans="2:5" ht="9.75" customHeight="1">
      <c r="B11" s="266"/>
      <c r="C11" s="164"/>
      <c r="D11" s="266"/>
      <c r="E11" s="164"/>
    </row>
    <row r="12" spans="2:5" ht="15.75">
      <c r="B12" s="266"/>
      <c r="C12" s="164"/>
      <c r="D12" s="266" t="s">
        <v>135</v>
      </c>
      <c r="E12" s="164"/>
    </row>
    <row r="13" spans="2:5" ht="15.75">
      <c r="B13" s="266" t="s">
        <v>136</v>
      </c>
      <c r="C13" s="164">
        <f>'Tableau de résultat N+1'!C43</f>
        <v>160000</v>
      </c>
      <c r="D13" s="266" t="s">
        <v>137</v>
      </c>
      <c r="E13" s="164">
        <f>'Bilan N'!C25-'Bilan N+1'!C25</f>
        <v>20000</v>
      </c>
    </row>
    <row r="14" spans="2:5" ht="9.75" customHeight="1">
      <c r="B14" s="266"/>
      <c r="C14" s="164"/>
      <c r="D14" s="266"/>
      <c r="E14" s="164"/>
    </row>
    <row r="15" spans="2:5" ht="15.75">
      <c r="B15" s="266" t="s">
        <v>138</v>
      </c>
      <c r="C15" s="164"/>
      <c r="D15" s="266" t="s">
        <v>139</v>
      </c>
      <c r="E15" s="164">
        <f>'Bilan N+1'!G6+'Bilan N+1'!G7-'Bilan N'!G6-'Bilan N+1'!C50</f>
        <v>368000</v>
      </c>
    </row>
    <row r="16" spans="2:5" ht="15.75">
      <c r="B16" s="266"/>
      <c r="C16" s="164"/>
      <c r="D16" s="266" t="s">
        <v>140</v>
      </c>
      <c r="E16" s="164"/>
    </row>
    <row r="17" spans="2:5" ht="15.75">
      <c r="B17" s="266"/>
      <c r="C17" s="164"/>
      <c r="D17" s="266" t="s">
        <v>141</v>
      </c>
      <c r="E17" s="164"/>
    </row>
    <row r="18" spans="2:5" ht="9.75" customHeight="1">
      <c r="B18" s="266"/>
      <c r="C18" s="164"/>
      <c r="D18" s="266"/>
      <c r="E18" s="164"/>
    </row>
    <row r="19" spans="2:5" ht="15.75">
      <c r="B19" s="266" t="s">
        <v>142</v>
      </c>
      <c r="C19" s="164">
        <f>'Bilan N'!C49+'Bilan N'!C48</f>
        <v>172000</v>
      </c>
      <c r="D19" s="266" t="s">
        <v>143</v>
      </c>
      <c r="E19" s="164">
        <f>('Bilan N+1'!G32+'Bilan N+1'!G33-'Bilan N+1'!G48)-('Bilan N'!G32+'Bilan N'!G33-'Bilan N'!G48)+'Bilan N'!C49+'Bilan N'!C48</f>
        <v>76400</v>
      </c>
    </row>
    <row r="20" spans="2:5" ht="9.75" customHeight="1" thickBot="1">
      <c r="B20" s="269"/>
      <c r="C20" s="172"/>
      <c r="D20" s="269"/>
      <c r="E20" s="172"/>
    </row>
    <row r="21" spans="2:5" ht="16.5" thickBot="1">
      <c r="B21" s="188" t="s">
        <v>144</v>
      </c>
      <c r="C21" s="267">
        <f>SUM(C5:C19)</f>
        <v>1481000</v>
      </c>
      <c r="D21" s="188" t="s">
        <v>145</v>
      </c>
      <c r="E21" s="267">
        <f>SUM(E5:E19)</f>
        <v>1824400</v>
      </c>
    </row>
    <row r="22" spans="2:5" ht="39.75" customHeight="1" thickBot="1">
      <c r="B22" s="270" t="s">
        <v>317</v>
      </c>
      <c r="C22" s="272">
        <f>IF(E21&gt;C21,E21-C21:C21,0)</f>
        <v>343400</v>
      </c>
      <c r="D22" s="270" t="s">
        <v>318</v>
      </c>
      <c r="E22" s="271">
        <f>IF(C21&gt;E21,C21-E21,0)</f>
        <v>0</v>
      </c>
    </row>
    <row r="23" spans="2:5" ht="16.5" thickBot="1">
      <c r="B23" s="188" t="s">
        <v>79</v>
      </c>
      <c r="C23" s="267">
        <f>C21+C22</f>
        <v>1824400</v>
      </c>
      <c r="D23" s="188" t="s">
        <v>79</v>
      </c>
      <c r="E23" s="267">
        <f>E21+E22</f>
        <v>1824400</v>
      </c>
    </row>
  </sheetData>
  <sheetProtection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2009-06-17T15:05:22Z</cp:lastPrinted>
  <dcterms:created xsi:type="dcterms:W3CDTF">2001-09-24T14:05:00Z</dcterms:created>
  <dcterms:modified xsi:type="dcterms:W3CDTF">2010-04-20T11:06:35Z</dcterms:modified>
  <cp:category/>
  <cp:version/>
  <cp:contentType/>
  <cp:contentStatus/>
</cp:coreProperties>
</file>