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Correction" sheetId="1" r:id="rId1"/>
  </sheets>
  <calcPr calcId="125725"/>
</workbook>
</file>

<file path=xl/calcChain.xml><?xml version="1.0" encoding="utf-8"?>
<calcChain xmlns="http://schemas.openxmlformats.org/spreadsheetml/2006/main">
  <c r="D15" i="1"/>
  <c r="G15" s="1"/>
  <c r="D12"/>
  <c r="E12" s="1"/>
  <c r="D21"/>
  <c r="D20"/>
  <c r="G20" s="1"/>
  <c r="D19"/>
  <c r="D18"/>
  <c r="D17"/>
  <c r="D16"/>
  <c r="D13"/>
  <c r="D10"/>
  <c r="D9"/>
  <c r="D8"/>
  <c r="D7"/>
  <c r="D6"/>
  <c r="C15"/>
  <c r="C13"/>
  <c r="F13" s="1"/>
  <c r="C22"/>
  <c r="C12"/>
  <c r="C11"/>
  <c r="F10"/>
  <c r="E9"/>
  <c r="G18"/>
  <c r="E27"/>
  <c r="E28" s="1"/>
  <c r="H21"/>
  <c r="H19"/>
  <c r="F8"/>
  <c r="G22"/>
  <c r="G16"/>
  <c r="E6"/>
  <c r="E11"/>
  <c r="H17"/>
  <c r="F23" l="1"/>
  <c r="G23"/>
  <c r="H23"/>
  <c r="E7"/>
  <c r="E23" s="1"/>
  <c r="G24" l="1"/>
  <c r="E24"/>
  <c r="E29" s="1"/>
</calcChain>
</file>

<file path=xl/comments1.xml><?xml version="1.0" encoding="utf-8"?>
<comments xmlns="http://schemas.openxmlformats.org/spreadsheetml/2006/main">
  <authors>
    <author>Carlos JANUARIO</author>
  </authors>
  <commentList>
    <comment ref="C6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6" authorId="0">
      <text>
        <r>
          <rPr>
            <sz val="8"/>
            <color indexed="81"/>
            <rFont val="Tahoma"/>
            <family val="2"/>
          </rPr>
          <t>=&gt; Coût de la de matières premières pour un produit / Prix de vente unitaire HT
=&gt; 240 €  / 1 500 €</t>
        </r>
      </text>
    </comment>
    <comment ref="C7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7" authorId="0">
      <text>
        <r>
          <rPr>
            <sz val="8"/>
            <color indexed="81"/>
            <rFont val="Tahoma"/>
            <family val="2"/>
          </rPr>
          <t>=&gt; Coût de production variable d'un produit fini / Prix de vente unitaire HT
=&gt; ( 240 € + 80 € + 70 €) / 1 500 €</t>
        </r>
      </text>
    </comment>
    <comment ref="C8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8" authorId="0">
      <text>
        <r>
          <rPr>
            <sz val="8"/>
            <color indexed="81"/>
            <rFont val="Tahoma"/>
            <family val="2"/>
          </rPr>
          <t xml:space="preserve">=&gt; Coût de production fixe annuel des produits finis / 360 jours
=&gt; ((800 000 € + 400 000 €) / 360 jours </t>
        </r>
      </text>
    </comment>
    <comment ref="C9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9" authorId="0">
      <text>
        <r>
          <rPr>
            <sz val="8"/>
            <color indexed="81"/>
            <rFont val="Tahoma"/>
            <family val="2"/>
          </rPr>
          <t>=&gt; Coût de production variable d'un produit en-cours / Prix de vente unitaire HT
=&gt; ( 240 € + (80 € x 60%)+ (70 € x 40%)) / 1 500 €</t>
        </r>
      </text>
    </comment>
    <comment ref="C10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10" authorId="0">
      <text>
        <r>
          <rPr>
            <sz val="8"/>
            <color indexed="81"/>
            <rFont val="Tahoma"/>
            <family val="2"/>
          </rPr>
          <t>=&gt; Coût de production fixe annuel des produits en-cours / 360 jours
=&gt; ((800 000 € + 400 000 €) x 40% / 360 jours</t>
        </r>
      </text>
    </comment>
    <comment ref="C11" authorId="0">
      <text>
        <r>
          <rPr>
            <sz val="8"/>
            <color indexed="81"/>
            <rFont val="Tahoma"/>
            <family val="2"/>
          </rPr>
          <t>=&gt; ((30 / 2) + 30) x 50% + ((30 / 2) + 45) x 30%</t>
        </r>
      </text>
    </comment>
    <comment ref="D11" authorId="0">
      <text>
        <r>
          <rPr>
            <sz val="8"/>
            <color indexed="81"/>
            <rFont val="Tahoma"/>
            <family val="2"/>
          </rPr>
          <t>=&gt; Prix de vente TTC / Prix de vente HT</t>
        </r>
      </text>
    </comment>
    <comment ref="C12" authorId="0">
      <text>
        <r>
          <rPr>
            <sz val="8"/>
            <color indexed="81"/>
            <rFont val="Tahoma"/>
            <family val="2"/>
          </rPr>
          <t xml:space="preserve">=&gt; (30/2) + 23 = </t>
        </r>
        <r>
          <rPr>
            <b/>
            <sz val="8"/>
            <color indexed="81"/>
            <rFont val="Tahoma"/>
            <family val="2"/>
          </rPr>
          <t>38 jours</t>
        </r>
      </text>
    </comment>
    <comment ref="D12" authorId="0">
      <text>
        <r>
          <rPr>
            <sz val="8"/>
            <color indexed="81"/>
            <rFont val="Tahoma"/>
            <family val="2"/>
          </rPr>
          <t>=&gt; TVA sur achats pour un produit / Prix de vente unitaire  HT
=&gt; ((240 € x 20 %) + ((80 € + 100 €) x 13%))/ 1 500 €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=&gt; (30/2) + 23 = </t>
        </r>
        <r>
          <rPr>
            <b/>
            <sz val="8"/>
            <color indexed="81"/>
            <rFont val="Tahoma"/>
            <family val="2"/>
          </rPr>
          <t>38 jours</t>
        </r>
      </text>
    </comment>
    <comment ref="D13" authorId="0">
      <text>
        <r>
          <rPr>
            <sz val="8"/>
            <color indexed="81"/>
            <rFont val="Tahoma"/>
            <family val="2"/>
          </rPr>
          <t>=&gt; TVA sur charges fixes annuelles / 360 jours
=&gt; ((400 000 € + 220 000 €) x 11%) / 360 jours</t>
        </r>
      </text>
    </comment>
    <comment ref="C15" authorId="0">
      <text>
        <r>
          <rPr>
            <sz val="8"/>
            <color indexed="81"/>
            <rFont val="Tahoma"/>
            <family val="2"/>
          </rPr>
          <t>=&gt; ((30 / 2) + 30) x 40% + ((30 / 2) + 60) x 40%</t>
        </r>
      </text>
    </comment>
    <comment ref="D15" authorId="0">
      <text>
        <r>
          <rPr>
            <sz val="8"/>
            <color indexed="81"/>
            <rFont val="Tahoma"/>
            <family val="2"/>
          </rPr>
          <t>=&gt; Coût de la de matières premières TTC pour un produit / Prix de vente unitaire HT
=&gt; (240 € x 1,20) / 1 500 €</t>
        </r>
      </text>
    </comment>
    <comment ref="C16" authorId="0">
      <text>
        <r>
          <rPr>
            <sz val="8"/>
            <color indexed="81"/>
            <rFont val="Tahoma"/>
            <family val="2"/>
          </rPr>
          <t>=&gt; Voir Document 2</t>
        </r>
      </text>
    </comment>
    <comment ref="D16" authorId="0">
      <text>
        <r>
          <rPr>
            <sz val="8"/>
            <color indexed="81"/>
            <rFont val="Tahoma"/>
            <family val="2"/>
          </rPr>
          <t>=&gt; Coût des fournitures TTC pour un produit / Prix de vente unitaire HT
=&gt; ((80 € + 100 €) x 1,13) / 1 500 €</t>
        </r>
      </text>
    </comment>
    <comment ref="C17" authorId="0">
      <text>
        <r>
          <rPr>
            <sz val="8"/>
            <color indexed="81"/>
            <rFont val="Tahoma"/>
            <family val="2"/>
          </rPr>
          <t>=&gt; Voir Document 2</t>
        </r>
      </text>
    </comment>
    <comment ref="D17" authorId="0">
      <text>
        <r>
          <rPr>
            <sz val="8"/>
            <color indexed="81"/>
            <rFont val="Tahoma"/>
            <family val="2"/>
          </rPr>
          <t>=&gt; Coûts fixes annuels  TTC / 360 jours
=&gt; ((400 000€ + 220 000 €) x 1,11) / 360 jours</t>
        </r>
      </text>
    </comment>
    <comment ref="C18" authorId="0">
      <text>
        <r>
          <rPr>
            <sz val="8"/>
            <color indexed="81"/>
            <rFont val="Tahoma"/>
            <family val="2"/>
          </rPr>
          <t>=&gt; (30 / 2) = 15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18" authorId="0">
      <text>
        <r>
          <rPr>
            <sz val="8"/>
            <color indexed="81"/>
            <rFont val="Tahoma"/>
            <family val="2"/>
          </rPr>
          <t>=&gt; Main d'œuvre de production variable pour un produit / Prix de vente unitaire HT
=&gt; (70 € / 1,42 x (100% - 22%)) / 1 500 €</t>
        </r>
      </text>
    </comment>
    <comment ref="C19" authorId="0">
      <text>
        <r>
          <rPr>
            <sz val="8"/>
            <color indexed="81"/>
            <rFont val="Tahoma"/>
            <family val="2"/>
          </rPr>
          <t>=&gt; (30 / 2) = 15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19" authorId="0">
      <text>
        <r>
          <rPr>
            <sz val="8"/>
            <color indexed="81"/>
            <rFont val="Tahoma"/>
            <family val="2"/>
          </rPr>
          <t>=&gt; Main d'œuvre de production fixe annuelle / 360 jours
=&gt; (800 000 € + 200 000 €) / 1,42 x (100% - 22%) / 360 jours</t>
        </r>
      </text>
    </comment>
    <comment ref="C20" authorId="0">
      <text>
        <r>
          <rPr>
            <sz val="8"/>
            <color indexed="81"/>
            <rFont val="Tahoma"/>
            <family val="2"/>
          </rPr>
          <t>=&gt; (30 / 2) + 17 = 32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20" authorId="0">
      <text>
        <r>
          <rPr>
            <sz val="8"/>
            <color indexed="81"/>
            <rFont val="Tahoma"/>
            <family val="2"/>
          </rPr>
          <t>=&gt; Charges sociales variables pour un produit  / Prix de vente unitaire HT
=&gt; ((70 € /1,42) x (22% + 42%)) / 1 500 €</t>
        </r>
      </text>
    </comment>
    <comment ref="C21" authorId="0">
      <text>
        <r>
          <rPr>
            <sz val="8"/>
            <color indexed="81"/>
            <rFont val="Tahoma"/>
            <family val="2"/>
          </rPr>
          <t>=&gt; (30 / 2) + 17 = 32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21" authorId="0">
      <text>
        <r>
          <rPr>
            <sz val="8"/>
            <color indexed="81"/>
            <rFont val="Tahoma"/>
            <family val="2"/>
          </rPr>
          <t>=&gt;Charges sociales fixes annuelles / 360 jours
=&gt; ((800 000 € + 200 000 €) / 1,42 x (22% + 42%)) / 360 jours</t>
        </r>
      </text>
    </comment>
    <comment ref="C22" authorId="0">
      <text>
        <r>
          <rPr>
            <sz val="8"/>
            <color indexed="81"/>
            <rFont val="Tahoma"/>
            <family val="2"/>
          </rPr>
          <t xml:space="preserve">=&gt; (30/2) + 23 = </t>
        </r>
        <r>
          <rPr>
            <b/>
            <sz val="8"/>
            <color indexed="81"/>
            <rFont val="Tahoma"/>
            <family val="2"/>
          </rPr>
          <t>38 jours</t>
        </r>
      </text>
    </comment>
    <comment ref="D22" authorId="0">
      <text>
        <r>
          <rPr>
            <sz val="8"/>
            <color indexed="81"/>
            <rFont val="Tahoma"/>
            <family val="2"/>
          </rPr>
          <t>20 % du CA HT</t>
        </r>
      </text>
    </comment>
    <comment ref="E24" authorId="0">
      <text>
        <r>
          <rPr>
            <sz val="8"/>
            <color indexed="81"/>
            <rFont val="Tahoma"/>
            <family val="2"/>
          </rPr>
          <t>Besoins variables - Ressources variables</t>
        </r>
      </text>
    </comment>
    <comment ref="G24" authorId="0">
      <text>
        <r>
          <rPr>
            <sz val="8"/>
            <color indexed="81"/>
            <rFont val="Tahoma"/>
            <family val="2"/>
          </rPr>
          <t>Besoins fixes  - Ressources fixes</t>
        </r>
      </text>
    </comment>
    <comment ref="E25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E26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E27" authorId="0">
      <text>
        <r>
          <rPr>
            <sz val="8"/>
            <color indexed="81"/>
            <rFont val="Tahoma"/>
            <family val="2"/>
          </rPr>
          <t>=&gt; Prix de vente unitaire hors taxes x Quantité annuelle</t>
        </r>
      </text>
    </comment>
    <comment ref="E28" authorId="0">
      <text>
        <r>
          <rPr>
            <sz val="8"/>
            <color indexed="81"/>
            <rFont val="Tahoma"/>
            <family val="2"/>
          </rPr>
          <t>CA HT annuel / 360 jours</t>
        </r>
      </text>
    </comment>
    <comment ref="E29" authorId="0">
      <text>
        <r>
          <rPr>
            <sz val="8"/>
            <color indexed="81"/>
            <rFont val="Tahoma"/>
            <family val="2"/>
          </rPr>
          <t>=&gt; BFR en jours x CA par jour - Dégagement de ressources</t>
        </r>
      </text>
    </comment>
  </commentList>
</comments>
</file>

<file path=xl/sharedStrings.xml><?xml version="1.0" encoding="utf-8"?>
<sst xmlns="http://schemas.openxmlformats.org/spreadsheetml/2006/main" count="36" uniqueCount="33">
  <si>
    <t>Durées Moyennes</t>
  </si>
  <si>
    <t>TVA collectée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</si>
  <si>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</si>
  <si>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</si>
  <si>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</si>
  <si>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</si>
  <si>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</si>
  <si>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</si>
  <si>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</si>
  <si>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Variables</t>
  </si>
  <si>
    <t>Fixes</t>
  </si>
  <si>
    <t>Chiffre d’affaires annuel en valeur</t>
  </si>
  <si>
    <t>Chiffre d'affaires par jour</t>
  </si>
  <si>
    <t>Stocks de matières premières</t>
  </si>
  <si>
    <t>Stocks de produits finis variables</t>
  </si>
  <si>
    <t>Stocks de produits finis fixes</t>
  </si>
  <si>
    <t>TVA déductible fixe</t>
  </si>
  <si>
    <t>Fournisseurs de matières premières</t>
  </si>
  <si>
    <t>Fournisseurs : coûts fixes</t>
  </si>
  <si>
    <t>Personnel : salaires variables</t>
  </si>
  <si>
    <t>Charges sociales variables</t>
  </si>
  <si>
    <t>Personnel : salaires fixes</t>
  </si>
  <si>
    <t>Charges sociales fixes</t>
  </si>
  <si>
    <t>BFRN fixe</t>
  </si>
  <si>
    <t>Prix de vente unitaire Hors Taxes</t>
  </si>
  <si>
    <t>Quantité annuelle</t>
  </si>
  <si>
    <t>Stocks de produits en-cours variables</t>
  </si>
  <si>
    <t>Stocks de produits en-cours fixes</t>
  </si>
  <si>
    <t>Fournisseurs de fournitures</t>
  </si>
  <si>
    <t>TVA déductible variable</t>
  </si>
  <si>
    <t>BFRN variable en jours de chiffre d'affaires HT</t>
  </si>
  <si>
    <t>Clients</t>
  </si>
  <si>
    <t>BFRN en  valeur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</si>
</sst>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0.0"/>
  </numFmts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4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" fontId="2" fillId="0" borderId="10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" fontId="1" fillId="0" borderId="10" xfId="0" applyNumberFormat="1" applyFont="1" applyFill="1" applyBorder="1" applyAlignment="1" applyProtection="1">
      <alignment vertical="center"/>
    </xf>
    <xf numFmtId="164" fontId="1" fillId="5" borderId="16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left" vertical="center" indent="14"/>
    </xf>
    <xf numFmtId="0" fontId="2" fillId="6" borderId="3" xfId="0" applyFont="1" applyFill="1" applyBorder="1" applyAlignment="1" applyProtection="1">
      <alignment horizontal="left" vertical="center" indent="14"/>
    </xf>
    <xf numFmtId="0" fontId="2" fillId="6" borderId="19" xfId="0" applyFont="1" applyFill="1" applyBorder="1" applyAlignment="1" applyProtection="1">
      <alignment horizontal="left" vertical="center" indent="14"/>
    </xf>
    <xf numFmtId="1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 indent="10"/>
    </xf>
    <xf numFmtId="4" fontId="2" fillId="0" borderId="10" xfId="0" applyNumberFormat="1" applyFont="1" applyFill="1" applyBorder="1" applyAlignment="1" applyProtection="1">
      <alignment horizontal="right" vertical="center" indent="10"/>
    </xf>
    <xf numFmtId="4" fontId="1" fillId="0" borderId="21" xfId="0" applyNumberFormat="1" applyFont="1" applyFill="1" applyBorder="1" applyAlignment="1" applyProtection="1">
      <alignment horizontal="right" vertical="center" indent="10"/>
    </xf>
    <xf numFmtId="4" fontId="1" fillId="0" borderId="22" xfId="0" applyNumberFormat="1" applyFont="1" applyFill="1" applyBorder="1" applyAlignment="1" applyProtection="1">
      <alignment horizontal="right" vertical="center" indent="10"/>
    </xf>
    <xf numFmtId="3" fontId="2" fillId="0" borderId="1" xfId="0" applyNumberFormat="1" applyFont="1" applyFill="1" applyBorder="1" applyAlignment="1" applyProtection="1">
      <alignment horizontal="right" vertical="center" indent="10"/>
    </xf>
    <xf numFmtId="3" fontId="2" fillId="0" borderId="10" xfId="0" applyNumberFormat="1" applyFont="1" applyFill="1" applyBorder="1" applyAlignment="1" applyProtection="1">
      <alignment horizontal="right" vertical="center" indent="1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9"/>
  <sheetViews>
    <sheetView showGridLines="0" showZeros="0" tabSelected="1" workbookViewId="0">
      <selection activeCell="B2" sqref="B2:H2"/>
    </sheetView>
  </sheetViews>
  <sheetFormatPr baseColWidth="10" defaultRowHeight="15.75"/>
  <cols>
    <col min="1" max="1" width="3.7109375" style="2" customWidth="1"/>
    <col min="2" max="2" width="46.7109375" style="2" customWidth="1"/>
    <col min="3" max="8" width="12.7109375" style="2" customWidth="1"/>
    <col min="9" max="16384" width="11.42578125" style="2"/>
  </cols>
  <sheetData>
    <row r="1" spans="2:8" ht="16.5" thickBot="1">
      <c r="B1" s="1"/>
    </row>
    <row r="2" spans="2:8" ht="31.5" customHeight="1" thickBot="1">
      <c r="B2" s="39" t="s">
        <v>3</v>
      </c>
      <c r="C2" s="40"/>
      <c r="D2" s="40"/>
      <c r="E2" s="40"/>
      <c r="F2" s="40"/>
      <c r="G2" s="40"/>
      <c r="H2" s="41"/>
    </row>
    <row r="3" spans="2:8">
      <c r="B3" s="44" t="s">
        <v>4</v>
      </c>
      <c r="C3" s="46" t="s">
        <v>0</v>
      </c>
      <c r="D3" s="46" t="s">
        <v>2</v>
      </c>
      <c r="E3" s="48" t="s">
        <v>5</v>
      </c>
      <c r="F3" s="50"/>
      <c r="G3" s="48" t="s">
        <v>6</v>
      </c>
      <c r="H3" s="49"/>
    </row>
    <row r="4" spans="2:8">
      <c r="B4" s="45"/>
      <c r="C4" s="47"/>
      <c r="D4" s="47"/>
      <c r="E4" s="15" t="s">
        <v>9</v>
      </c>
      <c r="F4" s="15" t="s">
        <v>10</v>
      </c>
      <c r="G4" s="15" t="s">
        <v>9</v>
      </c>
      <c r="H4" s="23" t="s">
        <v>10</v>
      </c>
    </row>
    <row r="5" spans="2:8" ht="15.75" customHeight="1">
      <c r="B5" s="3" t="s">
        <v>7</v>
      </c>
      <c r="C5" s="4"/>
      <c r="D5" s="4"/>
      <c r="E5" s="4"/>
      <c r="F5" s="5"/>
      <c r="G5" s="5"/>
      <c r="H5" s="6"/>
    </row>
    <row r="6" spans="2:8" ht="15.75" customHeight="1">
      <c r="B6" s="7" t="s">
        <v>13</v>
      </c>
      <c r="C6" s="31">
        <v>32</v>
      </c>
      <c r="D6" s="27">
        <f>240/1500</f>
        <v>0.16</v>
      </c>
      <c r="E6" s="8">
        <f>C6*D6</f>
        <v>5.12</v>
      </c>
      <c r="F6" s="5"/>
      <c r="G6" s="5"/>
      <c r="H6" s="6"/>
    </row>
    <row r="7" spans="2:8" ht="15.75" customHeight="1">
      <c r="B7" s="7" t="s">
        <v>14</v>
      </c>
      <c r="C7" s="31">
        <v>18</v>
      </c>
      <c r="D7" s="27">
        <f>(240+80+70)/1500</f>
        <v>0.26</v>
      </c>
      <c r="E7" s="8">
        <f t="shared" ref="E7" si="0">C7*D7</f>
        <v>4.68</v>
      </c>
      <c r="F7" s="5"/>
      <c r="G7" s="5"/>
      <c r="H7" s="6"/>
    </row>
    <row r="8" spans="2:8" ht="15.75" customHeight="1">
      <c r="B8" s="7" t="s">
        <v>15</v>
      </c>
      <c r="C8" s="31">
        <v>18</v>
      </c>
      <c r="D8" s="27">
        <f>(800000+400000)/360</f>
        <v>3333.3333333333335</v>
      </c>
      <c r="E8" s="8"/>
      <c r="F8" s="5">
        <f>C8*D8</f>
        <v>60000</v>
      </c>
      <c r="G8" s="5"/>
      <c r="H8" s="6"/>
    </row>
    <row r="9" spans="2:8" ht="15.75" customHeight="1">
      <c r="B9" s="7" t="s">
        <v>26</v>
      </c>
      <c r="C9" s="31">
        <v>14</v>
      </c>
      <c r="D9" s="27">
        <f>(240+80*60%+70*40%)/1500</f>
        <v>0.21066666666666667</v>
      </c>
      <c r="E9" s="8">
        <f t="shared" ref="E9" si="1">C9*D9</f>
        <v>2.9493333333333336</v>
      </c>
      <c r="F9" s="5"/>
      <c r="G9" s="5"/>
      <c r="H9" s="6"/>
    </row>
    <row r="10" spans="2:8" ht="15.75" customHeight="1">
      <c r="B10" s="7" t="s">
        <v>27</v>
      </c>
      <c r="C10" s="31">
        <v>14</v>
      </c>
      <c r="D10" s="27">
        <f>(800000+400000)*40%/360</f>
        <v>1333.3333333333333</v>
      </c>
      <c r="E10" s="8"/>
      <c r="F10" s="5">
        <f>C10*D10</f>
        <v>18666.666666666664</v>
      </c>
      <c r="G10" s="5"/>
      <c r="H10" s="6"/>
    </row>
    <row r="11" spans="2:8" ht="15.75" customHeight="1">
      <c r="B11" s="7" t="s">
        <v>31</v>
      </c>
      <c r="C11" s="32">
        <f>((30/2)+30)*50%+((30/2)+45)*30%</f>
        <v>40.5</v>
      </c>
      <c r="D11" s="27">
        <v>1.2</v>
      </c>
      <c r="E11" s="8">
        <f>C11*D11</f>
        <v>48.6</v>
      </c>
      <c r="F11" s="5"/>
      <c r="G11" s="5"/>
      <c r="H11" s="6"/>
    </row>
    <row r="12" spans="2:8" ht="15.75" customHeight="1">
      <c r="B12" s="7" t="s">
        <v>29</v>
      </c>
      <c r="C12" s="9">
        <f>(30/2)+23</f>
        <v>38</v>
      </c>
      <c r="D12" s="27">
        <f>((240*20%)+((80+100)*13%))/1500</f>
        <v>4.7600000000000003E-2</v>
      </c>
      <c r="E12" s="8">
        <f>C12*D12</f>
        <v>1.8088000000000002</v>
      </c>
      <c r="F12" s="5"/>
      <c r="G12" s="5"/>
      <c r="H12" s="6"/>
    </row>
    <row r="13" spans="2:8" ht="15.75" customHeight="1">
      <c r="B13" s="7" t="s">
        <v>16</v>
      </c>
      <c r="C13" s="9">
        <f>(30/2)+23</f>
        <v>38</v>
      </c>
      <c r="D13" s="27">
        <f>((400000+220000)*11%)/360</f>
        <v>189.44444444444446</v>
      </c>
      <c r="E13" s="8"/>
      <c r="F13" s="5">
        <f>C13*D13</f>
        <v>7198.8888888888896</v>
      </c>
      <c r="G13" s="5"/>
      <c r="H13" s="6"/>
    </row>
    <row r="14" spans="2:8" ht="15.75" customHeight="1">
      <c r="B14" s="3" t="s">
        <v>6</v>
      </c>
      <c r="C14" s="9"/>
      <c r="D14" s="27"/>
      <c r="E14" s="4"/>
      <c r="F14" s="5"/>
      <c r="G14" s="5"/>
      <c r="H14" s="6"/>
    </row>
    <row r="15" spans="2:8" ht="15.75" customHeight="1">
      <c r="B15" s="10" t="s">
        <v>17</v>
      </c>
      <c r="C15" s="31">
        <f>((30/2)+30)*40%+((30/2)+60)*40%</f>
        <v>48</v>
      </c>
      <c r="D15" s="27">
        <f>(240*1.2)/1500</f>
        <v>0.192</v>
      </c>
      <c r="E15" s="4"/>
      <c r="F15" s="11"/>
      <c r="G15" s="8">
        <f>C15*D15</f>
        <v>9.2160000000000011</v>
      </c>
      <c r="H15" s="6"/>
    </row>
    <row r="16" spans="2:8" ht="15.75" customHeight="1">
      <c r="B16" s="10" t="s">
        <v>28</v>
      </c>
      <c r="C16" s="31">
        <v>30</v>
      </c>
      <c r="D16" s="27">
        <f>((80+100)*1.13)/1500</f>
        <v>0.1356</v>
      </c>
      <c r="E16" s="4"/>
      <c r="F16" s="11"/>
      <c r="G16" s="8">
        <f>C16*D16</f>
        <v>4.0679999999999996</v>
      </c>
      <c r="H16" s="6"/>
    </row>
    <row r="17" spans="2:8" ht="15.75" customHeight="1">
      <c r="B17" s="10" t="s">
        <v>18</v>
      </c>
      <c r="C17" s="31">
        <v>25</v>
      </c>
      <c r="D17" s="27">
        <f>((400000+220000)*1.11)/360</f>
        <v>1911.666666666667</v>
      </c>
      <c r="E17" s="4"/>
      <c r="F17" s="11"/>
      <c r="G17" s="11"/>
      <c r="H17" s="6">
        <f>C17*D17</f>
        <v>47791.666666666672</v>
      </c>
    </row>
    <row r="18" spans="2:8" ht="15.75" customHeight="1">
      <c r="B18" s="10" t="s">
        <v>19</v>
      </c>
      <c r="C18" s="31">
        <v>15</v>
      </c>
      <c r="D18" s="27">
        <f>(70/1.42*(100%-22%))/1500</f>
        <v>2.5633802816901412E-2</v>
      </c>
      <c r="E18" s="4"/>
      <c r="F18" s="11"/>
      <c r="G18" s="22">
        <f>C18*D18</f>
        <v>0.38450704225352117</v>
      </c>
      <c r="H18" s="6"/>
    </row>
    <row r="19" spans="2:8" ht="15.75" customHeight="1">
      <c r="B19" s="10" t="s">
        <v>21</v>
      </c>
      <c r="C19" s="31">
        <v>15</v>
      </c>
      <c r="D19" s="27">
        <f>(800000+200000)/1.42*(100%-22%)/360</f>
        <v>1525.8215962441318</v>
      </c>
      <c r="E19" s="4"/>
      <c r="F19" s="11"/>
      <c r="G19" s="4"/>
      <c r="H19" s="6">
        <f>C19*D19</f>
        <v>22887.323943661977</v>
      </c>
    </row>
    <row r="20" spans="2:8" ht="15.75" customHeight="1">
      <c r="B20" s="10" t="s">
        <v>20</v>
      </c>
      <c r="C20" s="31">
        <v>32</v>
      </c>
      <c r="D20" s="27">
        <f>((70/1.42)*(22%+42%))/1500</f>
        <v>2.103286384976526E-2</v>
      </c>
      <c r="E20" s="4"/>
      <c r="F20" s="11"/>
      <c r="G20" s="8">
        <f>C20*D20</f>
        <v>0.67305164319248834</v>
      </c>
      <c r="H20" s="6"/>
    </row>
    <row r="21" spans="2:8" ht="15.75" customHeight="1">
      <c r="B21" s="10" t="s">
        <v>22</v>
      </c>
      <c r="C21" s="31">
        <v>32</v>
      </c>
      <c r="D21" s="27">
        <f>((800000+200000)/1.42*(22%+42%))/360</f>
        <v>1251.9561815336465</v>
      </c>
      <c r="E21" s="4"/>
      <c r="F21" s="11"/>
      <c r="G21" s="4"/>
      <c r="H21" s="6">
        <f>C21*D21</f>
        <v>40062.597809076688</v>
      </c>
    </row>
    <row r="22" spans="2:8" ht="15.75" customHeight="1">
      <c r="B22" s="10" t="s">
        <v>1</v>
      </c>
      <c r="C22" s="9">
        <f>(30/2)+23</f>
        <v>38</v>
      </c>
      <c r="D22" s="27">
        <v>0.2</v>
      </c>
      <c r="E22" s="4"/>
      <c r="F22" s="25"/>
      <c r="G22" s="8">
        <f>C22*D22</f>
        <v>7.6000000000000005</v>
      </c>
      <c r="H22" s="6"/>
    </row>
    <row r="23" spans="2:8" ht="15.75" customHeight="1">
      <c r="B23" s="42" t="s">
        <v>8</v>
      </c>
      <c r="C23" s="43"/>
      <c r="D23" s="43"/>
      <c r="E23" s="12">
        <f>SUM(E6:E13)</f>
        <v>63.158133333333332</v>
      </c>
      <c r="F23" s="26">
        <f>SUM(F7:F15)</f>
        <v>85865.555555555547</v>
      </c>
      <c r="G23" s="21">
        <f>SUM(G5:G22)</f>
        <v>21.941558685446012</v>
      </c>
      <c r="H23" s="13">
        <f>SUM(H15:H22)</f>
        <v>110741.58841940534</v>
      </c>
    </row>
    <row r="24" spans="2:8" ht="15.75" customHeight="1">
      <c r="B24" s="28" t="s">
        <v>30</v>
      </c>
      <c r="C24" s="17"/>
      <c r="D24" s="18"/>
      <c r="E24" s="19">
        <f>E23-G23</f>
        <v>41.21657464788732</v>
      </c>
      <c r="F24" s="20" t="s">
        <v>23</v>
      </c>
      <c r="G24" s="26">
        <f>F23-H23</f>
        <v>-24876.032863849789</v>
      </c>
      <c r="H24" s="14"/>
    </row>
    <row r="25" spans="2:8" ht="15.75" customHeight="1">
      <c r="B25" s="29" t="s">
        <v>24</v>
      </c>
      <c r="C25" s="16"/>
      <c r="D25" s="16"/>
      <c r="E25" s="33">
        <v>1500</v>
      </c>
      <c r="F25" s="33"/>
      <c r="G25" s="33"/>
      <c r="H25" s="34"/>
    </row>
    <row r="26" spans="2:8" ht="15.75" customHeight="1">
      <c r="B26" s="29" t="s">
        <v>25</v>
      </c>
      <c r="C26" s="16"/>
      <c r="D26" s="16"/>
      <c r="E26" s="37">
        <v>5000</v>
      </c>
      <c r="F26" s="37"/>
      <c r="G26" s="37"/>
      <c r="H26" s="38"/>
    </row>
    <row r="27" spans="2:8" ht="15.75" customHeight="1">
      <c r="B27" s="29" t="s">
        <v>11</v>
      </c>
      <c r="C27" s="16"/>
      <c r="D27" s="16"/>
      <c r="E27" s="33">
        <f>E25*E26</f>
        <v>7500000</v>
      </c>
      <c r="F27" s="33"/>
      <c r="G27" s="33"/>
      <c r="H27" s="34"/>
    </row>
    <row r="28" spans="2:8" ht="15.75" customHeight="1">
      <c r="B28" s="29" t="s">
        <v>12</v>
      </c>
      <c r="C28" s="16"/>
      <c r="D28" s="16"/>
      <c r="E28" s="33">
        <f>E27/360</f>
        <v>20833.333333333332</v>
      </c>
      <c r="F28" s="33"/>
      <c r="G28" s="33"/>
      <c r="H28" s="34"/>
    </row>
    <row r="29" spans="2:8" ht="15.75" customHeight="1" thickBot="1">
      <c r="B29" s="30" t="s">
        <v>32</v>
      </c>
      <c r="C29" s="24"/>
      <c r="D29" s="24"/>
      <c r="E29" s="35">
        <f>E28*E24+G24</f>
        <v>833802.60563380271</v>
      </c>
      <c r="F29" s="35"/>
      <c r="G29" s="35"/>
      <c r="H29" s="36"/>
    </row>
  </sheetData>
  <sheetProtection sheet="1" objects="1" scenarios="1"/>
  <mergeCells count="12">
    <mergeCell ref="B2:H2"/>
    <mergeCell ref="B23:D23"/>
    <mergeCell ref="B3:B4"/>
    <mergeCell ref="C3:C4"/>
    <mergeCell ref="D3:D4"/>
    <mergeCell ref="G3:H3"/>
    <mergeCell ref="E3:F3"/>
    <mergeCell ref="E28:H28"/>
    <mergeCell ref="E29:H29"/>
    <mergeCell ref="E26:H26"/>
    <mergeCell ref="E27:H27"/>
    <mergeCell ref="E25:H25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2015-06-22T19:17:40Z</dcterms:modified>
  <cp:category>IEL</cp:category>
</cp:coreProperties>
</file>