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 activeTab="1"/>
  </bookViews>
  <sheets>
    <sheet name="Travail 1" sheetId="2" r:id="rId1"/>
    <sheet name="Travail 2" sheetId="1" r:id="rId2"/>
  </sheets>
  <calcPr calcId="125725"/>
</workbook>
</file>

<file path=xl/calcChain.xml><?xml version="1.0" encoding="utf-8"?>
<calcChain xmlns="http://schemas.openxmlformats.org/spreadsheetml/2006/main">
  <c r="D13" i="1"/>
  <c r="D12"/>
  <c r="D11"/>
  <c r="D9"/>
  <c r="F23"/>
  <c r="C17"/>
  <c r="G18"/>
  <c r="D16"/>
  <c r="C16"/>
  <c r="F15"/>
  <c r="D15"/>
  <c r="C15"/>
  <c r="H14"/>
  <c r="D14"/>
  <c r="C14"/>
  <c r="C13"/>
  <c r="D6"/>
  <c r="C12"/>
  <c r="C11"/>
  <c r="C9"/>
  <c r="C7"/>
  <c r="E7" s="1"/>
  <c r="C8"/>
  <c r="C6"/>
  <c r="E6" s="1"/>
  <c r="F21"/>
  <c r="H16"/>
  <c r="F17"/>
  <c r="H18"/>
  <c r="F12"/>
  <c r="F11"/>
  <c r="E8"/>
  <c r="F13"/>
  <c r="F18" l="1"/>
  <c r="E18"/>
  <c r="E9"/>
  <c r="E19" l="1"/>
  <c r="F22" s="1"/>
  <c r="F24" s="1"/>
</calcChain>
</file>

<file path=xl/comments1.xml><?xml version="1.0" encoding="utf-8"?>
<comments xmlns="http://schemas.openxmlformats.org/spreadsheetml/2006/main">
  <authors>
    <author>Carlos JANUARIO</author>
  </authors>
  <commentList>
    <comment ref="C6" authorId="0">
      <text>
        <r>
          <rPr>
            <sz val="8"/>
            <color indexed="81"/>
            <rFont val="Tahoma"/>
            <family val="2"/>
          </rPr>
          <t xml:space="preserve">Achats de marchandises = 4 000 000 € x 20 % = 800 000 €
Stocks = 800 000 € x 12 % = 96 000 €
Durée moyenne = (96 000 € / 800 000 €) x 360 = </t>
        </r>
        <r>
          <rPr>
            <b/>
            <sz val="8"/>
            <color indexed="81"/>
            <rFont val="Tahoma"/>
            <family val="2"/>
          </rPr>
          <t>43 jours</t>
        </r>
      </text>
    </comment>
    <comment ref="D6" authorId="0">
      <text>
        <r>
          <rPr>
            <sz val="8"/>
            <color indexed="81"/>
            <rFont val="Tahoma"/>
            <family val="2"/>
          </rPr>
          <t>=&gt; Achats de marchandises / Chiffre d'affaires HT
=&gt; 800 000 € / 4 000 000 €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=&gt; ((30 + 60) / 2) x 30 % = </t>
        </r>
        <r>
          <rPr>
            <b/>
            <sz val="8"/>
            <color indexed="81"/>
            <rFont val="Tahoma"/>
            <family val="2"/>
          </rPr>
          <t>14 jours</t>
        </r>
      </text>
    </comment>
    <comment ref="D7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=&gt; ((60 + 120) / 2) x 40 % = </t>
        </r>
        <r>
          <rPr>
            <b/>
            <sz val="8"/>
            <color indexed="81"/>
            <rFont val="Tahoma"/>
            <family val="2"/>
          </rPr>
          <t>36 jours</t>
        </r>
      </text>
    </comment>
    <comment ref="D8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=&gt; (30/2) + 20 = </t>
        </r>
        <r>
          <rPr>
            <b/>
            <sz val="8"/>
            <color indexed="81"/>
            <rFont val="Tahoma"/>
            <family val="2"/>
          </rPr>
          <t>35 jours</t>
        </r>
      </text>
    </comment>
    <comment ref="D9" authorId="0">
      <text>
        <r>
          <rPr>
            <sz val="8"/>
            <color indexed="81"/>
            <rFont val="Tahoma"/>
            <family val="2"/>
          </rPr>
          <t>=&gt; TVA sur achats / Chiffre d'affaires HT
=&gt; ((800 000 € + (4 000 000 € x 9%)) x 20 %) / 4 000 000 €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=&gt; ((30 + 60) / 2) x 50 % = </t>
        </r>
        <r>
          <rPr>
            <b/>
            <sz val="8"/>
            <color indexed="81"/>
            <rFont val="Tahoma"/>
            <family val="2"/>
          </rPr>
          <t>23 jours</t>
        </r>
      </text>
    </comment>
    <comment ref="D11" authorId="0">
      <text>
        <r>
          <rPr>
            <sz val="8"/>
            <color indexed="81"/>
            <rFont val="Tahoma"/>
            <family val="2"/>
          </rPr>
          <t>=&gt; Achats de marchandises TTC / Chiffre d'affaires HT
=&gt; (800 000 € x 1,20) / 4 000 000 €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=&gt; ((60 + 120) / 2) x 30 % = </t>
        </r>
        <r>
          <rPr>
            <b/>
            <sz val="8"/>
            <color indexed="81"/>
            <rFont val="Tahoma"/>
            <family val="2"/>
          </rPr>
          <t>27 jours</t>
        </r>
      </text>
    </comment>
    <comment ref="D12" authorId="0">
      <text>
        <r>
          <rPr>
            <sz val="8"/>
            <color indexed="81"/>
            <rFont val="Tahoma"/>
            <family val="2"/>
          </rPr>
          <t>=&gt; Achats de marchandises TTC / Chiffre d'affaires HT
=&gt; (800 000 € x 1,20
) / 4 000 000 €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=&gt; (30 / 2) + 30 = </t>
        </r>
        <r>
          <rPr>
            <b/>
            <sz val="8"/>
            <color indexed="81"/>
            <rFont val="Tahoma"/>
            <family val="2"/>
          </rPr>
          <t>45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=&gt; Autres achats TTC / Chiffre d'affaires HT
=&gt; (4 000 000€ x 9% x 1,20) / 4 000 000 €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=&gt; (30 / 2) = </t>
        </r>
        <r>
          <rPr>
            <b/>
            <sz val="8"/>
            <color indexed="81"/>
            <rFont val="Tahoma"/>
            <family val="2"/>
          </rPr>
          <t>15 jours</t>
        </r>
      </text>
    </comment>
    <comment ref="D14" authorId="0">
      <text>
        <r>
          <rPr>
            <sz val="8"/>
            <color indexed="81"/>
            <rFont val="Tahoma"/>
            <family val="2"/>
          </rPr>
          <t>=&gt; Salaires nets / 360 jours
=&gt; (1 800 000 € x 80 %) / 360 jours</t>
        </r>
      </text>
    </comment>
    <comment ref="C15" authorId="0">
      <text>
        <r>
          <rPr>
            <sz val="8"/>
            <color indexed="81"/>
            <rFont val="Tahoma"/>
            <family val="2"/>
          </rPr>
          <t>=&gt; Voir document 2</t>
        </r>
      </text>
    </comment>
    <comment ref="D15" authorId="0">
      <text>
        <r>
          <rPr>
            <sz val="8"/>
            <color indexed="81"/>
            <rFont val="Tahoma"/>
            <family val="2"/>
          </rPr>
          <t>=&gt; 6% du Chiffre d'affaires HT</t>
        </r>
      </text>
    </comment>
    <comment ref="C16" authorId="0">
      <text>
        <r>
          <rPr>
            <sz val="8"/>
            <color indexed="81"/>
            <rFont val="Tahoma"/>
            <family val="2"/>
          </rPr>
          <t xml:space="preserve">(30/2) + 18 = </t>
        </r>
        <r>
          <rPr>
            <b/>
            <sz val="8"/>
            <color indexed="81"/>
            <rFont val="Tahoma"/>
            <family val="2"/>
          </rPr>
          <t>33 jours</t>
        </r>
      </text>
    </comment>
    <comment ref="D16" authorId="0">
      <text>
        <r>
          <rPr>
            <sz val="8"/>
            <color indexed="81"/>
            <rFont val="Tahoma"/>
            <family val="2"/>
          </rPr>
          <t>=&gt; Charges sociales / 360 jours
=&gt; (1 800 000 € x (20% + 40%)) / 360 jours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=&gt; (30/2) + 20 = </t>
        </r>
        <r>
          <rPr>
            <b/>
            <sz val="8"/>
            <color indexed="81"/>
            <rFont val="Tahoma"/>
            <family val="2"/>
          </rPr>
          <t>35 jours</t>
        </r>
      </text>
    </comment>
    <comment ref="D17" authorId="0">
      <text>
        <r>
          <rPr>
            <sz val="8"/>
            <color indexed="81"/>
            <rFont val="Tahoma"/>
            <family val="2"/>
          </rPr>
          <t>20 % du CA HT</t>
        </r>
      </text>
    </comment>
    <comment ref="E19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  <comment ref="F20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F21" authorId="0">
      <text>
        <r>
          <rPr>
            <sz val="8"/>
            <color indexed="81"/>
            <rFont val="Tahoma"/>
            <family val="2"/>
          </rPr>
          <t>CA HT annuel / 360 jours</t>
        </r>
      </text>
    </comment>
    <comment ref="F22" authorId="0">
      <text>
        <r>
          <rPr>
            <sz val="8"/>
            <color indexed="81"/>
            <rFont val="Tahoma"/>
            <family val="2"/>
          </rPr>
          <t>BFRE en jours x CA par jour - Ressources fixes</t>
        </r>
      </text>
    </comment>
    <comment ref="F23" authorId="0">
      <text>
        <r>
          <rPr>
            <sz val="8"/>
            <color indexed="81"/>
            <rFont val="Tahoma"/>
            <family val="2"/>
          </rPr>
          <t>=&gt; 100 jours de Chiffre d'affaires HT</t>
        </r>
      </text>
    </comment>
    <comment ref="F24" authorId="0">
      <text>
        <r>
          <rPr>
            <sz val="8"/>
            <color indexed="81"/>
            <rFont val="Tahoma"/>
            <family val="2"/>
          </rPr>
          <t>=&gt; Fonds de Roulement - BFRE en valeur</t>
        </r>
      </text>
    </comment>
  </commentList>
</comments>
</file>

<file path=xl/sharedStrings.xml><?xml version="1.0" encoding="utf-8"?>
<sst xmlns="http://schemas.openxmlformats.org/spreadsheetml/2006/main" count="32" uniqueCount="29">
  <si>
    <t>Durées Moyennes</t>
  </si>
  <si>
    <t>TVA déductible</t>
  </si>
  <si>
    <t>Organismes Sociaux</t>
  </si>
  <si>
    <t>TVA collectée</t>
  </si>
  <si>
    <t>BFRN en jours</t>
  </si>
  <si>
    <t>Trésorerie</t>
  </si>
  <si>
    <t>Fonds de roulement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</si>
  <si>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</si>
  <si>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</si>
  <si>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</si>
  <si>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</si>
  <si>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</si>
  <si>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</si>
  <si>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</si>
  <si>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marchandises</t>
  </si>
  <si>
    <t>Clients à 30 jours fin de mois</t>
  </si>
  <si>
    <t>Clients à 60 jours fin de mois</t>
  </si>
  <si>
    <t>Fournisseurs de marchandises à 30 jours fin de mois</t>
  </si>
  <si>
    <t>Fournisseurs de marchandises à 60 jours fin de mois</t>
  </si>
  <si>
    <t>Variables</t>
  </si>
  <si>
    <t>Fixes</t>
  </si>
  <si>
    <t>Autres fournisseurs</t>
  </si>
  <si>
    <t>Personnel : rémunérations</t>
  </si>
  <si>
    <t>Commerciaux : commissions</t>
  </si>
  <si>
    <t>Chiffre d’affaires annuel en valeur</t>
  </si>
  <si>
    <t>Chiffre d'affaires par jour</t>
  </si>
  <si>
    <t>BFRE en  valeur</t>
  </si>
  <si>
    <t>Les éléments fixes à intégrer dans le BFRE normatif doivent être des produits encaissés et des charges décaissées :
   - salaires mensualisés fixes,
   - loyers, assurances, abonnements.
Les produits et les charges calculés, sans impact sur la trésorerie  ne doivent pas être compris dans les calculs du BFRE :
   - dotations aux amortissements , aux dépréciations et aux provisions,
   - reprises d’amortissements, de dépréciations et de provisions.</t>
  </si>
  <si>
    <t>Exemples de charges et de produits fixes intégrés ou non intégrés dans les calculs du BFRE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</si>
</sst>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14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14" xfId="0" applyNumberFormat="1" applyFont="1" applyFill="1" applyBorder="1" applyAlignment="1" applyProtection="1">
      <alignment vertical="center"/>
    </xf>
    <xf numFmtId="164" fontId="1" fillId="5" borderId="24" xfId="0" applyNumberFormat="1" applyFont="1" applyFill="1" applyBorder="1" applyAlignment="1" applyProtection="1">
      <alignment vertical="center"/>
    </xf>
    <xf numFmtId="164" fontId="1" fillId="5" borderId="25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indent="5"/>
    </xf>
    <xf numFmtId="4" fontId="2" fillId="0" borderId="11" xfId="0" applyNumberFormat="1" applyFont="1" applyFill="1" applyBorder="1" applyAlignment="1" applyProtection="1">
      <alignment horizontal="right" vertical="center" indent="5"/>
    </xf>
    <xf numFmtId="4" fontId="2" fillId="0" borderId="5" xfId="0" applyNumberFormat="1" applyFont="1" applyFill="1" applyBorder="1" applyAlignment="1" applyProtection="1">
      <alignment horizontal="right" vertical="center" indent="5"/>
    </xf>
    <xf numFmtId="0" fontId="2" fillId="6" borderId="3" xfId="0" applyFont="1" applyFill="1" applyBorder="1" applyAlignment="1" applyProtection="1">
      <alignment horizontal="left" vertical="center" indent="30"/>
    </xf>
    <xf numFmtId="0" fontId="2" fillId="6" borderId="11" xfId="0" applyFont="1" applyFill="1" applyBorder="1" applyAlignment="1" applyProtection="1">
      <alignment horizontal="left" vertical="center" indent="30"/>
    </xf>
    <xf numFmtId="0" fontId="2" fillId="6" borderId="10" xfId="0" applyFont="1" applyFill="1" applyBorder="1" applyAlignment="1" applyProtection="1">
      <alignment horizontal="left" vertical="center" indent="30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indent="30"/>
    </xf>
    <xf numFmtId="0" fontId="1" fillId="5" borderId="11" xfId="0" applyFont="1" applyFill="1" applyBorder="1" applyAlignment="1" applyProtection="1">
      <alignment horizontal="left" vertical="center" indent="30"/>
    </xf>
    <xf numFmtId="0" fontId="1" fillId="5" borderId="10" xfId="0" applyFont="1" applyFill="1" applyBorder="1" applyAlignment="1" applyProtection="1">
      <alignment horizontal="left" vertical="center" indent="30"/>
    </xf>
    <xf numFmtId="4" fontId="2" fillId="0" borderId="17" xfId="0" applyNumberFormat="1" applyFont="1" applyFill="1" applyBorder="1" applyAlignment="1" applyProtection="1">
      <alignment horizontal="right" vertical="center" indent="5"/>
    </xf>
    <xf numFmtId="4" fontId="2" fillId="0" borderId="15" xfId="0" applyNumberFormat="1" applyFont="1" applyFill="1" applyBorder="1" applyAlignment="1" applyProtection="1">
      <alignment horizontal="right" vertical="center" indent="5"/>
    </xf>
    <xf numFmtId="4" fontId="2" fillId="0" borderId="6" xfId="0" applyNumberFormat="1" applyFont="1" applyFill="1" applyBorder="1" applyAlignment="1" applyProtection="1">
      <alignment horizontal="right" vertical="center" indent="5"/>
    </xf>
    <xf numFmtId="0" fontId="2" fillId="6" borderId="4" xfId="0" applyFont="1" applyFill="1" applyBorder="1" applyAlignment="1" applyProtection="1">
      <alignment horizontal="left" vertical="center" indent="30"/>
    </xf>
    <xf numFmtId="0" fontId="2" fillId="6" borderId="15" xfId="0" applyFont="1" applyFill="1" applyBorder="1" applyAlignment="1" applyProtection="1">
      <alignment horizontal="left" vertical="center" indent="30"/>
    </xf>
    <xf numFmtId="0" fontId="2" fillId="6" borderId="16" xfId="0" applyFont="1" applyFill="1" applyBorder="1" applyAlignment="1" applyProtection="1">
      <alignment horizontal="left" vertical="center" indent="30"/>
    </xf>
    <xf numFmtId="0" fontId="2" fillId="6" borderId="3" xfId="0" applyFont="1" applyFill="1" applyBorder="1" applyAlignment="1" applyProtection="1">
      <alignment horizontal="left" vertical="center" wrapText="1" indent="30"/>
    </xf>
    <xf numFmtId="0" fontId="2" fillId="6" borderId="11" xfId="0" applyFont="1" applyFill="1" applyBorder="1" applyAlignment="1" applyProtection="1">
      <alignment horizontal="left" vertical="center" wrapText="1" indent="30"/>
    </xf>
    <xf numFmtId="0" fontId="2" fillId="6" borderId="10" xfId="0" applyFont="1" applyFill="1" applyBorder="1" applyAlignment="1" applyProtection="1">
      <alignment horizontal="left" vertical="center" wrapText="1" indent="3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"/>
  <sheetViews>
    <sheetView showGridLines="0" workbookViewId="0">
      <selection activeCell="B2" sqref="B2"/>
    </sheetView>
  </sheetViews>
  <sheetFormatPr baseColWidth="10" defaultRowHeight="15.75"/>
  <cols>
    <col min="1" max="1" width="3.7109375" style="1" customWidth="1"/>
    <col min="2" max="2" width="104.85546875" style="1" customWidth="1"/>
    <col min="3" max="16384" width="11.42578125" style="1"/>
  </cols>
  <sheetData>
    <row r="1" spans="2:2" ht="16.5" thickBot="1"/>
    <row r="2" spans="2:2" ht="16.5" thickBot="1">
      <c r="B2" s="2" t="s">
        <v>28</v>
      </c>
    </row>
    <row r="3" spans="2:2" ht="102" customHeight="1" thickBot="1">
      <c r="B3" s="28" t="s">
        <v>27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4"/>
  <sheetViews>
    <sheetView showGridLines="0" tabSelected="1" workbookViewId="0">
      <selection activeCell="B2" sqref="B2:H2"/>
    </sheetView>
  </sheetViews>
  <sheetFormatPr baseColWidth="10" defaultRowHeight="15.75"/>
  <cols>
    <col min="1" max="1" width="3.7109375" style="4" customWidth="1"/>
    <col min="2" max="2" width="46.7109375" style="4" customWidth="1"/>
    <col min="3" max="8" width="12.7109375" style="4" customWidth="1"/>
    <col min="9" max="16384" width="11.42578125" style="4"/>
  </cols>
  <sheetData>
    <row r="1" spans="2:8" ht="16.5" thickBot="1">
      <c r="B1" s="3"/>
    </row>
    <row r="2" spans="2:8" ht="31.5" customHeight="1" thickBot="1">
      <c r="B2" s="29" t="s">
        <v>8</v>
      </c>
      <c r="C2" s="30"/>
      <c r="D2" s="30"/>
      <c r="E2" s="30"/>
      <c r="F2" s="30"/>
      <c r="G2" s="30"/>
      <c r="H2" s="31"/>
    </row>
    <row r="3" spans="2:8">
      <c r="B3" s="34" t="s">
        <v>9</v>
      </c>
      <c r="C3" s="36" t="s">
        <v>0</v>
      </c>
      <c r="D3" s="36" t="s">
        <v>7</v>
      </c>
      <c r="E3" s="5" t="s">
        <v>10</v>
      </c>
      <c r="F3" s="6" t="s">
        <v>11</v>
      </c>
      <c r="G3" s="6" t="s">
        <v>10</v>
      </c>
      <c r="H3" s="7" t="s">
        <v>11</v>
      </c>
    </row>
    <row r="4" spans="2:8">
      <c r="B4" s="35"/>
      <c r="C4" s="37"/>
      <c r="D4" s="37"/>
      <c r="E4" s="38" t="s">
        <v>19</v>
      </c>
      <c r="F4" s="39"/>
      <c r="G4" s="38" t="s">
        <v>20</v>
      </c>
      <c r="H4" s="40"/>
    </row>
    <row r="5" spans="2:8" ht="15.75" customHeight="1">
      <c r="B5" s="8" t="s">
        <v>12</v>
      </c>
      <c r="C5" s="9"/>
      <c r="D5" s="9"/>
      <c r="E5" s="9"/>
      <c r="F5" s="10"/>
      <c r="G5" s="11"/>
      <c r="H5" s="12"/>
    </row>
    <row r="6" spans="2:8" ht="15.75" customHeight="1">
      <c r="B6" s="13" t="s">
        <v>14</v>
      </c>
      <c r="C6" s="27">
        <f>96000/800000*360</f>
        <v>43.199999999999996</v>
      </c>
      <c r="D6" s="17">
        <f>800000/4000000</f>
        <v>0.2</v>
      </c>
      <c r="E6" s="14">
        <f>C6*D6</f>
        <v>8.6399999999999988</v>
      </c>
      <c r="F6" s="15"/>
      <c r="G6" s="11"/>
      <c r="H6" s="12"/>
    </row>
    <row r="7" spans="2:8" ht="15.75" customHeight="1">
      <c r="B7" s="13" t="s">
        <v>15</v>
      </c>
      <c r="C7" s="27">
        <f>((30+60)/2)*30%</f>
        <v>13.5</v>
      </c>
      <c r="D7" s="17">
        <v>1.2</v>
      </c>
      <c r="E7" s="14">
        <f>C7*D7</f>
        <v>16.2</v>
      </c>
      <c r="F7" s="15"/>
      <c r="G7" s="11"/>
      <c r="H7" s="12"/>
    </row>
    <row r="8" spans="2:8" ht="15.75" customHeight="1">
      <c r="B8" s="13" t="s">
        <v>16</v>
      </c>
      <c r="C8" s="27">
        <f>((60+120)/2)*40%</f>
        <v>36</v>
      </c>
      <c r="D8" s="17">
        <v>1.2</v>
      </c>
      <c r="E8" s="14">
        <f>C8*D8</f>
        <v>43.199999999999996</v>
      </c>
      <c r="F8" s="15"/>
      <c r="G8" s="11"/>
      <c r="H8" s="12"/>
    </row>
    <row r="9" spans="2:8" ht="15.75" customHeight="1">
      <c r="B9" s="13" t="s">
        <v>1</v>
      </c>
      <c r="C9" s="16">
        <f>(30/2)+20</f>
        <v>35</v>
      </c>
      <c r="D9" s="17">
        <f>((800000+(4000000*9%))*20%)/4000000</f>
        <v>5.8000000000000003E-2</v>
      </c>
      <c r="E9" s="14">
        <f>C9*D9</f>
        <v>2.0300000000000002</v>
      </c>
      <c r="F9" s="15"/>
      <c r="G9" s="11"/>
      <c r="H9" s="12"/>
    </row>
    <row r="10" spans="2:8" ht="15.75" customHeight="1">
      <c r="B10" s="8" t="s">
        <v>11</v>
      </c>
      <c r="C10" s="16"/>
      <c r="D10" s="17"/>
      <c r="E10" s="9"/>
      <c r="F10" s="10"/>
      <c r="G10" s="11"/>
      <c r="H10" s="12"/>
    </row>
    <row r="11" spans="2:8" ht="15.75" customHeight="1">
      <c r="B11" s="18" t="s">
        <v>17</v>
      </c>
      <c r="C11" s="27">
        <f>((30+60)/2)*50%</f>
        <v>22.5</v>
      </c>
      <c r="D11" s="17">
        <f>(800000*1.2)/4000000</f>
        <v>0.24</v>
      </c>
      <c r="E11" s="9"/>
      <c r="F11" s="14">
        <f>C11*D11</f>
        <v>5.3999999999999995</v>
      </c>
      <c r="G11" s="19"/>
      <c r="H11" s="12"/>
    </row>
    <row r="12" spans="2:8" ht="15.75" customHeight="1">
      <c r="B12" s="18" t="s">
        <v>18</v>
      </c>
      <c r="C12" s="27">
        <f>((60+120)/2)*30%</f>
        <v>27</v>
      </c>
      <c r="D12" s="17">
        <f>(800000*1.2)/4000000</f>
        <v>0.24</v>
      </c>
      <c r="E12" s="9"/>
      <c r="F12" s="14">
        <f t="shared" ref="F12:F17" si="0">C12*D12</f>
        <v>6.4799999999999995</v>
      </c>
      <c r="G12" s="19"/>
      <c r="H12" s="12"/>
    </row>
    <row r="13" spans="2:8" ht="15.75" customHeight="1">
      <c r="B13" s="18" t="s">
        <v>21</v>
      </c>
      <c r="C13" s="27">
        <f>(30/2)+30</f>
        <v>45</v>
      </c>
      <c r="D13" s="17">
        <f>(4000000*9%*1.2)/4000000</f>
        <v>0.108</v>
      </c>
      <c r="E13" s="9"/>
      <c r="F13" s="14">
        <f t="shared" si="0"/>
        <v>4.8600000000000003</v>
      </c>
      <c r="G13" s="19"/>
      <c r="H13" s="12"/>
    </row>
    <row r="14" spans="2:8" ht="15.75" customHeight="1">
      <c r="B14" s="18" t="s">
        <v>22</v>
      </c>
      <c r="C14" s="27">
        <f>30/2</f>
        <v>15</v>
      </c>
      <c r="D14" s="17">
        <f>(1800000/360)*80%</f>
        <v>4000</v>
      </c>
      <c r="E14" s="9"/>
      <c r="F14" s="14"/>
      <c r="G14" s="19"/>
      <c r="H14" s="12">
        <f>C14*D14</f>
        <v>60000</v>
      </c>
    </row>
    <row r="15" spans="2:8" ht="15.75" customHeight="1">
      <c r="B15" s="18" t="s">
        <v>23</v>
      </c>
      <c r="C15" s="16">
        <f>30</f>
        <v>30</v>
      </c>
      <c r="D15" s="17">
        <f>6%</f>
        <v>0.06</v>
      </c>
      <c r="E15" s="9"/>
      <c r="F15" s="14">
        <f t="shared" si="0"/>
        <v>1.7999999999999998</v>
      </c>
      <c r="G15" s="19"/>
      <c r="H15" s="12"/>
    </row>
    <row r="16" spans="2:8" ht="15.75" customHeight="1">
      <c r="B16" s="18" t="s">
        <v>2</v>
      </c>
      <c r="C16" s="16">
        <f>(30/2)+18</f>
        <v>33</v>
      </c>
      <c r="D16" s="17">
        <f>(1800000*(20%+40%))/360</f>
        <v>3000.0000000000005</v>
      </c>
      <c r="E16" s="9"/>
      <c r="F16" s="20"/>
      <c r="G16" s="19"/>
      <c r="H16" s="21">
        <f>C16*D16</f>
        <v>99000.000000000015</v>
      </c>
    </row>
    <row r="17" spans="2:8" ht="15.75" customHeight="1">
      <c r="B17" s="18" t="s">
        <v>3</v>
      </c>
      <c r="C17" s="16">
        <f>(30/2)+20</f>
        <v>35</v>
      </c>
      <c r="D17" s="17">
        <v>0.2</v>
      </c>
      <c r="E17" s="9"/>
      <c r="F17" s="14">
        <f t="shared" si="0"/>
        <v>7</v>
      </c>
      <c r="G17" s="19"/>
      <c r="H17" s="12"/>
    </row>
    <row r="18" spans="2:8" ht="15.75" customHeight="1">
      <c r="B18" s="32" t="s">
        <v>13</v>
      </c>
      <c r="C18" s="33"/>
      <c r="D18" s="33"/>
      <c r="E18" s="22">
        <f>SUM(E6:E9)</f>
        <v>70.069999999999993</v>
      </c>
      <c r="F18" s="22">
        <f>SUM(F11:F17)</f>
        <v>25.54</v>
      </c>
      <c r="G18" s="23">
        <f>SUM(G5:G17)</f>
        <v>0</v>
      </c>
      <c r="H18" s="24">
        <f>SUM(H11:H17)</f>
        <v>159000</v>
      </c>
    </row>
    <row r="19" spans="2:8" ht="15.75" customHeight="1">
      <c r="B19" s="48" t="s">
        <v>4</v>
      </c>
      <c r="C19" s="49"/>
      <c r="D19" s="50"/>
      <c r="E19" s="47">
        <f>E18-F18</f>
        <v>44.529999999999994</v>
      </c>
      <c r="F19" s="47"/>
      <c r="G19" s="25"/>
      <c r="H19" s="26"/>
    </row>
    <row r="20" spans="2:8" ht="15.75" customHeight="1">
      <c r="B20" s="44" t="s">
        <v>24</v>
      </c>
      <c r="C20" s="45"/>
      <c r="D20" s="45"/>
      <c r="E20" s="46"/>
      <c r="F20" s="41">
        <v>4000000</v>
      </c>
      <c r="G20" s="42"/>
      <c r="H20" s="43"/>
    </row>
    <row r="21" spans="2:8" ht="15.75" customHeight="1">
      <c r="B21" s="44" t="s">
        <v>25</v>
      </c>
      <c r="C21" s="45"/>
      <c r="D21" s="45"/>
      <c r="E21" s="46"/>
      <c r="F21" s="41">
        <f>F20/360</f>
        <v>11111.111111111111</v>
      </c>
      <c r="G21" s="42"/>
      <c r="H21" s="43"/>
    </row>
    <row r="22" spans="2:8" ht="15.75" customHeight="1">
      <c r="B22" s="44" t="s">
        <v>26</v>
      </c>
      <c r="C22" s="45"/>
      <c r="D22" s="45"/>
      <c r="E22" s="46"/>
      <c r="F22" s="41">
        <f>E19*F21-H18</f>
        <v>335777.77777777769</v>
      </c>
      <c r="G22" s="42"/>
      <c r="H22" s="43"/>
    </row>
    <row r="23" spans="2:8" ht="15.75" customHeight="1">
      <c r="B23" s="57" t="s">
        <v>6</v>
      </c>
      <c r="C23" s="58"/>
      <c r="D23" s="58"/>
      <c r="E23" s="59"/>
      <c r="F23" s="41">
        <f>F21*100</f>
        <v>1111111.1111111112</v>
      </c>
      <c r="G23" s="42"/>
      <c r="H23" s="43"/>
    </row>
    <row r="24" spans="2:8" ht="15.75" customHeight="1" thickBot="1">
      <c r="B24" s="54" t="s">
        <v>5</v>
      </c>
      <c r="C24" s="55"/>
      <c r="D24" s="55"/>
      <c r="E24" s="56"/>
      <c r="F24" s="51">
        <f>F23-F22</f>
        <v>775333.33333333349</v>
      </c>
      <c r="G24" s="52"/>
      <c r="H24" s="53"/>
    </row>
  </sheetData>
  <sheetProtection sheet="1" objects="1" scenarios="1"/>
  <mergeCells count="19">
    <mergeCell ref="F24:H24"/>
    <mergeCell ref="B24:E24"/>
    <mergeCell ref="B23:E23"/>
    <mergeCell ref="B22:E22"/>
    <mergeCell ref="B21:E21"/>
    <mergeCell ref="F22:H22"/>
    <mergeCell ref="F23:H23"/>
    <mergeCell ref="F20:H20"/>
    <mergeCell ref="F21:H21"/>
    <mergeCell ref="B20:E20"/>
    <mergeCell ref="E19:F19"/>
    <mergeCell ref="B19:D19"/>
    <mergeCell ref="B2:H2"/>
    <mergeCell ref="B18:D18"/>
    <mergeCell ref="B3:B4"/>
    <mergeCell ref="C3:C4"/>
    <mergeCell ref="D3:D4"/>
    <mergeCell ref="E4:F4"/>
    <mergeCell ref="G4:H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1</vt:lpstr>
      <vt:lpstr>Travail 2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2015-06-17T19:25:20Z</dcterms:modified>
  <cp:category>IEL</cp:category>
</cp:coreProperties>
</file>