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workbookProtection lockStructure="1"/>
  <bookViews>
    <workbookView xWindow="240" yWindow="60" windowWidth="9180" windowHeight="4245"/>
  </bookViews>
  <sheets>
    <sheet name="Travail 1" sheetId="1" r:id="rId1"/>
    <sheet name="Travail 2" sheetId="3" r:id="rId2"/>
    <sheet name="Travail 3" sheetId="2" r:id="rId3"/>
  </sheets>
  <calcPr calcId="125725"/>
</workbook>
</file>

<file path=xl/calcChain.xml><?xml version="1.0" encoding="utf-8"?>
<calcChain xmlns="http://schemas.openxmlformats.org/spreadsheetml/2006/main">
  <c r="E8" i="3"/>
  <c r="E7"/>
  <c r="D12" i="1"/>
  <c r="D11"/>
  <c r="F11" s="1"/>
  <c r="D11" i="3" s="1"/>
  <c r="E11" s="1"/>
  <c r="D10" i="1"/>
  <c r="D8"/>
  <c r="D7"/>
  <c r="E5" i="3"/>
  <c r="E4"/>
  <c r="D5"/>
  <c r="D4"/>
  <c r="C13"/>
  <c r="D14" i="1"/>
  <c r="D13"/>
  <c r="F13" s="1"/>
  <c r="F12"/>
  <c r="F14"/>
  <c r="D6"/>
  <c r="E19"/>
  <c r="D5"/>
  <c r="C12"/>
  <c r="C11"/>
  <c r="C10"/>
  <c r="C14"/>
  <c r="C6"/>
  <c r="C5"/>
  <c r="C13"/>
  <c r="C15"/>
  <c r="C8"/>
  <c r="C7"/>
  <c r="E7" s="1"/>
  <c r="D6" i="3" s="1"/>
  <c r="E6" s="1"/>
  <c r="F20" i="1"/>
  <c r="E20"/>
  <c r="E8"/>
  <c r="D7" i="3" s="1"/>
  <c r="E6" i="1"/>
  <c r="E5"/>
  <c r="D8" i="3" l="1"/>
  <c r="C8"/>
  <c r="C14" s="1"/>
  <c r="F10" i="1"/>
  <c r="D10" i="3" s="1"/>
  <c r="E10" s="1"/>
  <c r="F15" i="1"/>
  <c r="D12" i="3" s="1"/>
  <c r="E12" s="1"/>
  <c r="E16" i="1"/>
  <c r="E13" i="3" l="1"/>
  <c r="E14" s="1"/>
  <c r="D13"/>
  <c r="D14" s="1"/>
  <c r="F16" i="1"/>
  <c r="E17" s="1"/>
  <c r="F21" l="1"/>
  <c r="E21"/>
</calcChain>
</file>

<file path=xl/comments1.xml><?xml version="1.0" encoding="utf-8"?>
<comments xmlns="http://schemas.openxmlformats.org/spreadsheetml/2006/main">
  <authors>
    <author>Carlos JANUARIO</author>
  </authors>
  <commentList>
    <comment ref="C5" authorId="0">
      <text>
        <r>
          <rPr>
            <sz val="8"/>
            <color indexed="81"/>
            <rFont val="Tahoma"/>
            <family val="2"/>
          </rPr>
          <t>=&gt; Voir document 1</t>
        </r>
      </text>
    </comment>
    <comment ref="D5" authorId="0">
      <text>
        <r>
          <rPr>
            <sz val="8"/>
            <color indexed="81"/>
            <rFont val="Tahoma"/>
            <family val="2"/>
          </rPr>
          <t>Coût de la matière première / Chiffre d'affaires HT
=&gt; 480 000 € / (100 € x 12 000 unités)
=&gt; 480 000 € / 1 200 000 €</t>
        </r>
      </text>
    </comment>
    <comment ref="C6" authorId="0">
      <text>
        <r>
          <rPr>
            <sz val="8"/>
            <color indexed="81"/>
            <rFont val="Tahoma"/>
            <family val="2"/>
          </rPr>
          <t>=&gt; Voir document 1</t>
        </r>
      </text>
    </comment>
    <comment ref="D6" authorId="0">
      <text>
        <r>
          <rPr>
            <sz val="8"/>
            <color indexed="81"/>
            <rFont val="Tahoma"/>
            <family val="2"/>
          </rPr>
          <t>Coût de production / Chiffre d'affaires  HT
=&gt; (480 000 € + 144 000 € + 80 000 € + + 120 000 € + 172 000 €) / 1 200 000 €</t>
        </r>
      </text>
    </comment>
    <comment ref="C7" authorId="0">
      <text>
        <r>
          <rPr>
            <sz val="8"/>
            <color indexed="81"/>
            <rFont val="Tahoma"/>
            <family val="2"/>
          </rPr>
          <t>=&gt; (30 x 40 %) + (60 x 40 %)</t>
        </r>
      </text>
    </comment>
    <comment ref="D7" authorId="0">
      <text>
        <r>
          <rPr>
            <sz val="8"/>
            <color indexed="81"/>
            <rFont val="Tahoma"/>
            <family val="2"/>
          </rPr>
          <t>=&gt; Créances TTC / Chiffre d'affaires HT
=&gt; (1 200 000 € x 1,20) / 1 200 000 €</t>
        </r>
      </text>
    </comment>
    <comment ref="C8" authorId="0">
      <text>
        <r>
          <rPr>
            <sz val="8"/>
            <color indexed="81"/>
            <rFont val="Tahoma"/>
            <family val="2"/>
          </rPr>
          <t>=&gt; (30 / 2) + 21</t>
        </r>
      </text>
    </comment>
    <comment ref="D8" authorId="0">
      <text>
        <r>
          <rPr>
            <sz val="8"/>
            <color indexed="81"/>
            <rFont val="Tahoma"/>
            <family val="2"/>
          </rPr>
          <t>TVA sur achats de matières 1ère et autres charges / Chiffre d'affaires HT
=&gt; ((480 000 € + 120 000 € + 60 000 €) x 20 %) / 1 200 000 €</t>
        </r>
      </text>
    </comment>
    <comment ref="C10" authorId="0">
      <text>
        <r>
          <rPr>
            <sz val="8"/>
            <color indexed="81"/>
            <rFont val="Tahoma"/>
            <family val="2"/>
          </rPr>
          <t>=&gt; Voir document 1</t>
        </r>
      </text>
    </comment>
    <comment ref="D10" authorId="0">
      <text>
        <r>
          <rPr>
            <sz val="8"/>
            <color indexed="81"/>
            <rFont val="Tahoma"/>
            <family val="2"/>
          </rPr>
          <t>Achats de matières 1ère TTC / Chiffre d'affaires HT
=&gt; (480 0000 €  x 1,20) / 1 200 000 €</t>
        </r>
      </text>
    </comment>
    <comment ref="C11" authorId="0">
      <text>
        <r>
          <rPr>
            <sz val="8"/>
            <color indexed="81"/>
            <rFont val="Tahoma"/>
            <family val="2"/>
          </rPr>
          <t>=&gt; Voir document 1</t>
        </r>
      </text>
    </comment>
    <comment ref="D11" authorId="0">
      <text>
        <r>
          <rPr>
            <sz val="8"/>
            <color indexed="81"/>
            <rFont val="Tahoma"/>
            <family val="2"/>
          </rPr>
          <t>Achats de services de production TTC / Chiffre d'affaires HT
=&gt; ((120 000 €  x 1,20) + 172 000 €) / 1 200 000 €</t>
        </r>
      </text>
    </comment>
    <comment ref="C12" authorId="0">
      <text>
        <r>
          <rPr>
            <sz val="8"/>
            <color indexed="81"/>
            <rFont val="Tahoma"/>
            <family val="2"/>
          </rPr>
          <t>=&gt; Voir document 1</t>
        </r>
      </text>
    </comment>
    <comment ref="D12" authorId="0">
      <text>
        <r>
          <rPr>
            <sz val="8"/>
            <color indexed="81"/>
            <rFont val="Tahoma"/>
            <family val="2"/>
          </rPr>
          <t>Achats de services de production TTC / Chiffre d'affaires HT
=&gt; (60 000 €  x 1,20) / 1 200 000 €</t>
        </r>
      </text>
    </comment>
    <comment ref="C13" authorId="0">
      <text>
        <r>
          <rPr>
            <sz val="8"/>
            <color indexed="81"/>
            <rFont val="Tahoma"/>
            <family val="2"/>
          </rPr>
          <t>=&gt; (30 / 2)</t>
        </r>
      </text>
    </comment>
    <comment ref="D13" authorId="0">
      <text>
        <r>
          <rPr>
            <sz val="8"/>
            <color indexed="81"/>
            <rFont val="Tahoma"/>
            <family val="2"/>
          </rPr>
          <t>Salaires nets de production et de distribution  / Chiffre d'affaires HT
=&gt; (144 000 €  + 36 000 €) x / 1 200 000 €</t>
        </r>
      </text>
    </comment>
    <comment ref="C14" authorId="0">
      <text>
        <r>
          <rPr>
            <sz val="8"/>
            <color indexed="81"/>
            <rFont val="Tahoma"/>
            <family val="2"/>
          </rPr>
          <t>=&gt; (30 / 2) + 15</t>
        </r>
      </text>
    </comment>
    <comment ref="D14" authorId="0">
      <text>
        <r>
          <rPr>
            <sz val="8"/>
            <color indexed="81"/>
            <rFont val="Tahoma"/>
            <family val="2"/>
          </rPr>
          <t>Charges sociales de production et de distribution / Chiffre d'affaires HT
=&gt; (80 000 €  + 20 000 €) / 1 200 000 €</t>
        </r>
      </text>
    </comment>
    <comment ref="C15" authorId="0">
      <text>
        <r>
          <rPr>
            <sz val="8"/>
            <color indexed="81"/>
            <rFont val="Tahoma"/>
            <family val="2"/>
          </rPr>
          <t>=&gt; (30 / 2) + 21</t>
        </r>
      </text>
    </comment>
    <comment ref="D15" authorId="0">
      <text>
        <r>
          <rPr>
            <sz val="8"/>
            <color indexed="81"/>
            <rFont val="Tahoma"/>
            <family val="2"/>
          </rPr>
          <t>20 % du Prix de vente unitaire HT</t>
        </r>
      </text>
    </comment>
    <comment ref="E19" authorId="0">
      <text>
        <r>
          <rPr>
            <sz val="8"/>
            <color indexed="81"/>
            <rFont val="Tahoma"/>
            <family val="2"/>
          </rPr>
          <t>=&gt; 12 000 unités x 100 €</t>
        </r>
      </text>
    </comment>
    <comment ref="F19" authorId="0">
      <text>
        <r>
          <rPr>
            <sz val="8"/>
            <color indexed="81"/>
            <rFont val="Tahoma"/>
            <family val="2"/>
          </rPr>
          <t xml:space="preserve">=&gt; Voir document 2
</t>
        </r>
      </text>
    </comment>
    <comment ref="E20" authorId="0">
      <text>
        <r>
          <rPr>
            <sz val="8"/>
            <color indexed="81"/>
            <rFont val="Tahoma"/>
            <family val="2"/>
          </rPr>
          <t>Chiffre d'affaires annuel / 360 jours</t>
        </r>
      </text>
    </comment>
    <comment ref="F20" authorId="0">
      <text>
        <r>
          <rPr>
            <sz val="8"/>
            <color indexed="81"/>
            <rFont val="Tahoma"/>
            <family val="2"/>
          </rPr>
          <t>Chiffre d'affaires annuel / 360 jours</t>
        </r>
      </text>
    </comment>
    <comment ref="E21" authorId="0">
      <text>
        <r>
          <rPr>
            <sz val="8"/>
            <color indexed="81"/>
            <rFont val="Tahoma"/>
            <family val="2"/>
          </rPr>
          <t>Chiffre d'affaires par jour x BFRN en jours de chiffre d'affaires</t>
        </r>
      </text>
    </comment>
    <comment ref="F21" authorId="0">
      <text>
        <r>
          <rPr>
            <sz val="8"/>
            <color indexed="81"/>
            <rFont val="Tahoma"/>
            <family val="2"/>
          </rPr>
          <t>Chiffre d'affaires par jour x BFRN en jours de chiffre d'affaires</t>
        </r>
      </text>
    </comment>
  </commentList>
</comments>
</file>

<file path=xl/comments2.xml><?xml version="1.0" encoding="utf-8"?>
<comments xmlns="http://schemas.openxmlformats.org/spreadsheetml/2006/main">
  <authors>
    <author>Carlos JANUARIO</author>
  </authors>
  <commentList>
    <comment ref="C4" authorId="0">
      <text>
        <r>
          <rPr>
            <sz val="8"/>
            <color indexed="81"/>
            <rFont val="Tahoma"/>
            <family val="2"/>
          </rPr>
          <t>=&gt; Voir document 2.</t>
        </r>
      </text>
    </comment>
    <comment ref="D4" authorId="0">
      <text>
        <r>
          <rPr>
            <sz val="8"/>
            <color indexed="81"/>
            <rFont val="Tahoma"/>
            <family val="2"/>
          </rPr>
          <t>=&gt; (Chiffre d'affaires réel / 360 jours) x Besoin en jours de chiffre d'affaires</t>
        </r>
      </text>
    </comment>
    <comment ref="C5" authorId="0">
      <text>
        <r>
          <rPr>
            <sz val="8"/>
            <color indexed="81"/>
            <rFont val="Tahoma"/>
            <family val="2"/>
          </rPr>
          <t>=&gt; Voir document 2.</t>
        </r>
      </text>
    </comment>
    <comment ref="D5" authorId="0">
      <text>
        <r>
          <rPr>
            <sz val="8"/>
            <color indexed="81"/>
            <rFont val="Tahoma"/>
            <family val="2"/>
          </rPr>
          <t>=&gt; (Chiffre d'affaires réel / 360 jours) x Besoin en jours de chiffre d'affaires</t>
        </r>
      </text>
    </comment>
    <comment ref="C6" authorId="0">
      <text>
        <r>
          <rPr>
            <sz val="8"/>
            <color indexed="81"/>
            <rFont val="Tahoma"/>
            <family val="2"/>
          </rPr>
          <t>=&gt; Voir document 2.</t>
        </r>
      </text>
    </comment>
    <comment ref="D6" authorId="0">
      <text>
        <r>
          <rPr>
            <sz val="8"/>
            <color indexed="81"/>
            <rFont val="Tahoma"/>
            <family val="2"/>
          </rPr>
          <t>=&gt; (Chiffre d'affaires réel / 360 jours) x Besoin en jours de chiffre d'affaires</t>
        </r>
      </text>
    </comment>
    <comment ref="C7" authorId="0">
      <text>
        <r>
          <rPr>
            <sz val="8"/>
            <color indexed="81"/>
            <rFont val="Tahoma"/>
            <family val="2"/>
          </rPr>
          <t>=&gt; Voir document 2.</t>
        </r>
      </text>
    </comment>
    <comment ref="D7" authorId="0">
      <text>
        <r>
          <rPr>
            <sz val="8"/>
            <color indexed="81"/>
            <rFont val="Tahoma"/>
            <family val="2"/>
          </rPr>
          <t>=&gt; (Chiffre d'affaires réel / 360 jours) x Besoin en jours de chiffre d'affaires</t>
        </r>
      </text>
    </comment>
    <comment ref="C10" authorId="0">
      <text>
        <r>
          <rPr>
            <sz val="8"/>
            <color indexed="81"/>
            <rFont val="Tahoma"/>
            <family val="2"/>
          </rPr>
          <t>=&gt; Voir document 2.</t>
        </r>
      </text>
    </comment>
    <comment ref="D10" authorId="0">
      <text>
        <r>
          <rPr>
            <sz val="8"/>
            <color indexed="81"/>
            <rFont val="Tahoma"/>
            <family val="2"/>
          </rPr>
          <t>=&gt; (Chiffre d'affaires réel / 360 jours) x Ressource en jours de chiffre d'affaires</t>
        </r>
      </text>
    </comment>
    <comment ref="C11" authorId="0">
      <text>
        <r>
          <rPr>
            <sz val="8"/>
            <color indexed="81"/>
            <rFont val="Tahoma"/>
            <family val="2"/>
          </rPr>
          <t>=&gt; Voir document 2.</t>
        </r>
      </text>
    </comment>
    <comment ref="D11" authorId="0">
      <text>
        <r>
          <rPr>
            <sz val="8"/>
            <color indexed="81"/>
            <rFont val="Tahoma"/>
            <family val="2"/>
          </rPr>
          <t>=&gt; (Chiffre d'affaires réel / 360 jours) x Ressource en jours de chiffre d'affaires</t>
        </r>
      </text>
    </comment>
    <comment ref="C12" authorId="0">
      <text>
        <r>
          <rPr>
            <sz val="8"/>
            <color indexed="81"/>
            <rFont val="Tahoma"/>
            <family val="2"/>
          </rPr>
          <t>=&gt; Voir document 2.</t>
        </r>
      </text>
    </comment>
    <comment ref="D12" authorId="0">
      <text>
        <r>
          <rPr>
            <sz val="8"/>
            <color indexed="81"/>
            <rFont val="Tahoma"/>
            <family val="2"/>
          </rPr>
          <t>=&gt; (Chiffre d'affaires réel / 360 jours) x Ressource en jours de chiffre d'affaires</t>
        </r>
      </text>
    </comment>
  </commentList>
</comments>
</file>

<file path=xl/sharedStrings.xml><?xml version="1.0" encoding="utf-8"?>
<sst xmlns="http://schemas.openxmlformats.org/spreadsheetml/2006/main" count="57" uniqueCount="37">
  <si>
    <t>Durées Moyennes</t>
  </si>
  <si>
    <t>TVA déductible</t>
  </si>
  <si>
    <t>Personnel</t>
  </si>
  <si>
    <t>Organismes Sociaux</t>
  </si>
  <si>
    <t>TVA collectée</t>
  </si>
  <si>
    <t>BFRN en jours</t>
  </si>
  <si>
    <t>Coefficients de structure</t>
  </si>
  <si>
    <t>BESOIN EN FONDS DE ROULEMENT D'EXPLOITATION
(méthode normative)</t>
  </si>
  <si>
    <t>Eléments</t>
  </si>
  <si>
    <t>Besoins</t>
  </si>
  <si>
    <t>Ressources</t>
  </si>
  <si>
    <t>Emplois</t>
  </si>
  <si>
    <t>Totaux</t>
  </si>
  <si>
    <t>Stocks de matières premières</t>
  </si>
  <si>
    <t>Stocks de produits finis</t>
  </si>
  <si>
    <t>BFRN en  valeur</t>
  </si>
  <si>
    <t>Clients</t>
  </si>
  <si>
    <t>Fournisseurs de matières premières</t>
  </si>
  <si>
    <t>Fournisseurs de services de production</t>
  </si>
  <si>
    <t>Fournisseurs de services de distribution</t>
  </si>
  <si>
    <t>Chiffre d'affaires annuel</t>
  </si>
  <si>
    <t>Chiffre d'affaires par jour</t>
  </si>
  <si>
    <t>Prévisionnel</t>
  </si>
  <si>
    <t>Réel</t>
  </si>
  <si>
    <t>COMPARAISON ENTRE BFR REEL ET BFR PREVISIONNEL NORMATIF</t>
  </si>
  <si>
    <t>Actif d’exploitation ou Emplois</t>
  </si>
  <si>
    <t>Valeurs réelles</t>
  </si>
  <si>
    <t>Valeurs normatives adaptées au CA réel</t>
  </si>
  <si>
    <t>Ecarts</t>
  </si>
  <si>
    <t>Nature des écarts</t>
  </si>
  <si>
    <t>Passif d’exploitation ou Ressources</t>
  </si>
  <si>
    <t>Autres dettes</t>
  </si>
  <si>
    <t>BFRE</t>
  </si>
  <si>
    <t>Favorable</t>
  </si>
  <si>
    <t>Défavorable</t>
  </si>
  <si>
    <t>Le BFR réel est supérieur au BFR prévisionnel normatif adapté au Chiffre d'Affaires réalisé.
Le poste "créances clients" est trop important en raison de l'allongement de la durée du crédit accordé aux clients ou en raison de leurs difficultés de règlements.
Il faut réduire la durée du crédit clients ou leur demander des avances sur commandes.
Une augmentation du BFR nécessite une augmentation du FRNG ou le recours aux crédits bancaires avec comme conséquence une dégradation coûteuse de la trésorerie.</t>
  </si>
  <si>
    <t>Solutions préconisées pour éviter une augmentation du BFR</t>
  </si>
</sst>
</file>

<file path=xl/styles.xml><?xml version="1.0" encoding="utf-8"?>
<styleSheet xmlns="http://schemas.openxmlformats.org/spreadsheetml/2006/main">
  <numFmts count="1">
    <numFmt numFmtId="164" formatCode="0.0000"/>
  </numFmts>
  <fonts count="4">
    <font>
      <sz val="10"/>
      <name val="Arial"/>
    </font>
    <font>
      <b/>
      <sz val="12"/>
      <name val="Times New Roman"/>
      <family val="1"/>
    </font>
    <font>
      <sz val="12"/>
      <name val="Times New Roman"/>
      <family val="1"/>
    </font>
    <font>
      <sz val="8"/>
      <color indexed="81"/>
      <name val="Tahoma"/>
      <family val="2"/>
    </font>
  </fonts>
  <fills count="10">
    <fill>
      <patternFill patternType="none"/>
    </fill>
    <fill>
      <patternFill patternType="gray125"/>
    </fill>
    <fill>
      <patternFill patternType="solid">
        <fgColor theme="6" tint="0.39997558519241921"/>
        <bgColor indexed="64"/>
      </patternFill>
    </fill>
    <fill>
      <patternFill patternType="solid">
        <fgColor theme="5" tint="0.39997558519241921"/>
        <bgColor indexed="64"/>
      </patternFill>
    </fill>
    <fill>
      <patternFill patternType="solid">
        <fgColor theme="4" tint="0.59999389629810485"/>
        <bgColor indexed="64"/>
      </patternFill>
    </fill>
    <fill>
      <patternFill patternType="solid">
        <fgColor rgb="FFFFC000"/>
        <bgColor indexed="64"/>
      </patternFill>
    </fill>
    <fill>
      <patternFill patternType="solid">
        <fgColor rgb="FFD99795"/>
        <bgColor indexed="64"/>
      </patternFill>
    </fill>
    <fill>
      <patternFill patternType="solid">
        <fgColor rgb="FFC2D69A"/>
        <bgColor indexed="64"/>
      </patternFill>
    </fill>
    <fill>
      <patternFill patternType="solid">
        <fgColor rgb="FFB8CCE4"/>
        <bgColor indexed="64"/>
      </patternFill>
    </fill>
    <fill>
      <patternFill patternType="solid">
        <fgColor rgb="FFC2D69B"/>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cellStyleXfs>
  <cellXfs count="72">
    <xf numFmtId="0" fontId="0" fillId="0" borderId="0" xfId="0"/>
    <xf numFmtId="0" fontId="2" fillId="0" borderId="0" xfId="0" applyFont="1" applyAlignment="1">
      <alignment vertical="center"/>
    </xf>
    <xf numFmtId="0" fontId="1" fillId="0" borderId="0" xfId="0" applyFont="1" applyAlignment="1">
      <alignment vertical="center"/>
    </xf>
    <xf numFmtId="0" fontId="2" fillId="0" borderId="1" xfId="0" applyFont="1" applyBorder="1" applyAlignment="1">
      <alignment vertical="center"/>
    </xf>
    <xf numFmtId="164" fontId="2" fillId="0" borderId="1" xfId="0" applyNumberFormat="1" applyFont="1" applyBorder="1" applyAlignment="1">
      <alignment vertical="center"/>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4" borderId="11" xfId="0" applyFont="1" applyFill="1" applyBorder="1" applyAlignment="1">
      <alignment horizontal="center" vertical="center"/>
    </xf>
    <xf numFmtId="0" fontId="2" fillId="0" borderId="12" xfId="0" applyFont="1" applyBorder="1" applyAlignment="1">
      <alignment vertical="center"/>
    </xf>
    <xf numFmtId="0" fontId="2" fillId="0" borderId="11" xfId="0" applyFont="1" applyBorder="1" applyAlignment="1">
      <alignment vertical="center"/>
    </xf>
    <xf numFmtId="0" fontId="2" fillId="0" borderId="11" xfId="0" applyFont="1" applyBorder="1" applyAlignment="1">
      <alignment vertical="center" wrapText="1"/>
    </xf>
    <xf numFmtId="164" fontId="2" fillId="0" borderId="12" xfId="0" applyNumberFormat="1" applyFont="1" applyBorder="1" applyAlignment="1">
      <alignment vertical="center"/>
    </xf>
    <xf numFmtId="0" fontId="2" fillId="0" borderId="1" xfId="0" applyFont="1" applyBorder="1" applyAlignment="1">
      <alignment horizontal="center" vertical="center"/>
    </xf>
    <xf numFmtId="164" fontId="2" fillId="0" borderId="1" xfId="0" applyNumberFormat="1" applyFont="1" applyFill="1" applyBorder="1" applyAlignment="1">
      <alignment vertical="center"/>
    </xf>
    <xf numFmtId="164" fontId="2" fillId="0" borderId="1" xfId="0" applyNumberFormat="1" applyFont="1" applyFill="1" applyBorder="1" applyAlignment="1">
      <alignment horizontal="center" vertical="center"/>
    </xf>
    <xf numFmtId="4" fontId="2" fillId="0" borderId="12" xfId="0" applyNumberFormat="1" applyFont="1" applyFill="1" applyBorder="1" applyAlignment="1">
      <alignment vertical="center"/>
    </xf>
    <xf numFmtId="0" fontId="2" fillId="0" borderId="0" xfId="0" applyFont="1" applyFill="1" applyBorder="1" applyAlignment="1">
      <alignment vertical="center"/>
    </xf>
    <xf numFmtId="10" fontId="2" fillId="0" borderId="0" xfId="0" applyNumberFormat="1" applyFont="1" applyAlignment="1">
      <alignment vertical="center"/>
    </xf>
    <xf numFmtId="164" fontId="1" fillId="2" borderId="1" xfId="0" applyNumberFormat="1" applyFont="1" applyFill="1" applyBorder="1" applyAlignment="1">
      <alignment vertical="center"/>
    </xf>
    <xf numFmtId="164" fontId="1" fillId="2" borderId="12" xfId="0" applyNumberFormat="1" applyFont="1" applyFill="1" applyBorder="1" applyAlignment="1">
      <alignment vertical="center"/>
    </xf>
    <xf numFmtId="164" fontId="2" fillId="0" borderId="0" xfId="0" applyNumberFormat="1" applyFont="1" applyFill="1" applyBorder="1" applyAlignment="1" applyProtection="1">
      <alignment vertical="center"/>
      <protection locked="0"/>
    </xf>
    <xf numFmtId="0" fontId="1" fillId="2" borderId="17" xfId="0" applyFont="1" applyFill="1" applyBorder="1" applyAlignment="1">
      <alignment horizontal="center" vertical="center"/>
    </xf>
    <xf numFmtId="0" fontId="1" fillId="2" borderId="18" xfId="0" applyFont="1" applyFill="1" applyBorder="1" applyAlignment="1">
      <alignment horizontal="center" vertical="center"/>
    </xf>
    <xf numFmtId="4" fontId="2" fillId="0" borderId="1" xfId="0" applyNumberFormat="1" applyFont="1" applyFill="1" applyBorder="1" applyAlignment="1">
      <alignment vertical="center"/>
    </xf>
    <xf numFmtId="4" fontId="2" fillId="0" borderId="20" xfId="0" applyNumberFormat="1" applyFont="1" applyFill="1" applyBorder="1" applyAlignment="1">
      <alignment horizontal="right" vertical="center"/>
    </xf>
    <xf numFmtId="4" fontId="2" fillId="0" borderId="16" xfId="0" applyNumberFormat="1" applyFont="1" applyFill="1" applyBorder="1" applyAlignment="1">
      <alignment horizontal="right" vertical="center"/>
    </xf>
    <xf numFmtId="0" fontId="2" fillId="0" borderId="0" xfId="0" applyFont="1"/>
    <xf numFmtId="0" fontId="1" fillId="3" borderId="21" xfId="0" applyFont="1" applyFill="1" applyBorder="1" applyAlignment="1">
      <alignment horizontal="center" vertical="center"/>
    </xf>
    <xf numFmtId="0" fontId="1" fillId="7" borderId="1"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1" fillId="7" borderId="11" xfId="0" applyFont="1" applyFill="1" applyBorder="1" applyAlignment="1">
      <alignment horizontal="center" vertical="center" wrapText="1"/>
    </xf>
    <xf numFmtId="0" fontId="1" fillId="7" borderId="12" xfId="0" applyFont="1" applyFill="1" applyBorder="1" applyAlignment="1">
      <alignment horizontal="center" vertical="center" wrapText="1"/>
    </xf>
    <xf numFmtId="0" fontId="1" fillId="9" borderId="11" xfId="0" applyFont="1" applyFill="1" applyBorder="1" applyAlignment="1">
      <alignment horizontal="center" vertical="center" wrapText="1"/>
    </xf>
    <xf numFmtId="0" fontId="1" fillId="9" borderId="12" xfId="0" applyFont="1" applyFill="1" applyBorder="1" applyAlignment="1">
      <alignment horizontal="center" vertical="center" wrapText="1"/>
    </xf>
    <xf numFmtId="4" fontId="2" fillId="0" borderId="1" xfId="0" applyNumberFormat="1" applyFont="1" applyBorder="1" applyAlignment="1">
      <alignment vertical="center"/>
    </xf>
    <xf numFmtId="0" fontId="1" fillId="8" borderId="11" xfId="0" applyFont="1" applyFill="1" applyBorder="1" applyAlignment="1">
      <alignment horizontal="right" vertical="center"/>
    </xf>
    <xf numFmtId="4" fontId="1" fillId="0" borderId="1" xfId="0" applyNumberFormat="1" applyFont="1" applyBorder="1" applyAlignment="1">
      <alignment vertical="center"/>
    </xf>
    <xf numFmtId="0" fontId="1" fillId="8" borderId="11" xfId="0" applyFont="1" applyFill="1" applyBorder="1" applyAlignment="1">
      <alignment horizontal="right" vertical="center" wrapText="1"/>
    </xf>
    <xf numFmtId="0" fontId="1" fillId="5" borderId="26" xfId="0" applyFont="1" applyFill="1" applyBorder="1" applyAlignment="1">
      <alignment horizontal="center" vertical="center" wrapText="1"/>
    </xf>
    <xf numFmtId="4" fontId="1" fillId="0" borderId="20" xfId="0" applyNumberFormat="1" applyFont="1" applyBorder="1" applyAlignment="1">
      <alignment vertical="center"/>
    </xf>
    <xf numFmtId="4" fontId="1" fillId="4" borderId="12" xfId="0" applyNumberFormat="1" applyFont="1" applyFill="1" applyBorder="1" applyAlignment="1">
      <alignment horizontal="center" vertical="center"/>
    </xf>
    <xf numFmtId="1" fontId="2" fillId="0" borderId="1" xfId="0" applyNumberFormat="1" applyFont="1" applyFill="1" applyBorder="1" applyAlignment="1" applyProtection="1">
      <alignment horizontal="center" vertical="center"/>
      <protection locked="0"/>
    </xf>
    <xf numFmtId="164" fontId="2" fillId="0" borderId="1" xfId="0" applyNumberFormat="1" applyFont="1" applyFill="1" applyBorder="1" applyAlignment="1" applyProtection="1">
      <alignment vertical="center"/>
      <protection locked="0"/>
    </xf>
    <xf numFmtId="164" fontId="2" fillId="0" borderId="1" xfId="0" applyNumberFormat="1" applyFont="1" applyFill="1" applyBorder="1" applyAlignment="1" applyProtection="1">
      <alignment horizontal="right" vertical="center"/>
      <protection locked="0"/>
    </xf>
    <xf numFmtId="0" fontId="2" fillId="0" borderId="0" xfId="0" applyFont="1" applyFill="1"/>
    <xf numFmtId="0" fontId="2" fillId="0" borderId="21" xfId="0" applyFont="1" applyFill="1" applyBorder="1" applyAlignment="1" applyProtection="1">
      <alignment horizontal="justify" vertical="center" wrapText="1"/>
      <protection locked="0"/>
    </xf>
    <xf numFmtId="4" fontId="2" fillId="0" borderId="12" xfId="0" applyNumberFormat="1" applyFont="1" applyFill="1" applyBorder="1" applyAlignment="1">
      <alignment horizontal="center" vertical="center"/>
    </xf>
    <xf numFmtId="4" fontId="1" fillId="0" borderId="16" xfId="0" applyNumberFormat="1" applyFont="1" applyFill="1" applyBorder="1" applyAlignment="1">
      <alignment horizontal="center" vertical="center"/>
    </xf>
    <xf numFmtId="0" fontId="2" fillId="0" borderId="2" xfId="0" applyFont="1" applyFill="1" applyBorder="1" applyAlignment="1">
      <alignment horizontal="left" vertical="center"/>
    </xf>
    <xf numFmtId="0" fontId="2" fillId="0" borderId="25" xfId="0" applyFont="1" applyFill="1" applyBorder="1" applyAlignment="1">
      <alignment horizontal="left" vertical="center"/>
    </xf>
    <xf numFmtId="0" fontId="2" fillId="0" borderId="19" xfId="0" applyFont="1" applyFill="1" applyBorder="1" applyAlignment="1">
      <alignment horizontal="left" vertical="center"/>
    </xf>
    <xf numFmtId="0" fontId="2" fillId="0" borderId="3" xfId="0" applyFont="1" applyFill="1" applyBorder="1" applyAlignment="1">
      <alignment horizontal="left" vertical="center"/>
    </xf>
    <xf numFmtId="0" fontId="2" fillId="0" borderId="13" xfId="0" applyFont="1" applyFill="1" applyBorder="1" applyAlignment="1">
      <alignment horizontal="left" vertical="center"/>
    </xf>
    <xf numFmtId="0" fontId="2" fillId="0" borderId="14" xfId="0" applyFont="1" applyFill="1" applyBorder="1" applyAlignment="1">
      <alignment horizontal="left" vertical="center"/>
    </xf>
    <xf numFmtId="0" fontId="1" fillId="5" borderId="3" xfId="0" applyFont="1" applyFill="1" applyBorder="1" applyAlignment="1">
      <alignment horizontal="left" vertical="center" indent="25"/>
    </xf>
    <xf numFmtId="0" fontId="1" fillId="5" borderId="13" xfId="0" applyFont="1" applyFill="1" applyBorder="1" applyAlignment="1">
      <alignment horizontal="left" vertical="center" indent="25"/>
    </xf>
    <xf numFmtId="0" fontId="1" fillId="5" borderId="14" xfId="0" applyFont="1" applyFill="1" applyBorder="1" applyAlignment="1">
      <alignment horizontal="left" vertical="center" indent="25"/>
    </xf>
    <xf numFmtId="0" fontId="1" fillId="3" borderId="5" xfId="0" applyFont="1" applyFill="1" applyBorder="1" applyAlignment="1">
      <alignment horizontal="center" vertical="center" wrapText="1"/>
    </xf>
    <xf numFmtId="0" fontId="1" fillId="3" borderId="7" xfId="0" applyFont="1" applyFill="1" applyBorder="1" applyAlignment="1">
      <alignment horizontal="center" vertical="center"/>
    </xf>
    <xf numFmtId="0" fontId="1" fillId="3" borderId="6"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 xfId="0" applyFont="1" applyFill="1" applyBorder="1" applyAlignment="1">
      <alignment horizontal="center" vertical="center"/>
    </xf>
    <xf numFmtId="164" fontId="1" fillId="5" borderId="15" xfId="0" applyNumberFormat="1" applyFont="1" applyFill="1" applyBorder="1" applyAlignment="1">
      <alignment horizontal="center" vertical="center"/>
    </xf>
    <xf numFmtId="164" fontId="1" fillId="5" borderId="4" xfId="0" applyNumberFormat="1" applyFont="1" applyFill="1" applyBorder="1" applyAlignment="1">
      <alignment horizontal="center" vertical="center"/>
    </xf>
    <xf numFmtId="0" fontId="1" fillId="2" borderId="22" xfId="0" applyFont="1" applyFill="1" applyBorder="1" applyAlignment="1">
      <alignment horizontal="center" vertical="center"/>
    </xf>
    <xf numFmtId="0" fontId="1" fillId="2" borderId="24" xfId="0" applyFont="1" applyFill="1" applyBorder="1" applyAlignment="1">
      <alignment horizontal="center" vertical="center"/>
    </xf>
    <xf numFmtId="0" fontId="1" fillId="2" borderId="23" xfId="0" applyFont="1" applyFill="1" applyBorder="1" applyAlignment="1">
      <alignment horizontal="center" vertical="center"/>
    </xf>
    <xf numFmtId="0" fontId="1" fillId="6" borderId="8" xfId="0" applyFont="1" applyFill="1" applyBorder="1" applyAlignment="1">
      <alignment horizontal="center" vertical="center" wrapText="1"/>
    </xf>
    <xf numFmtId="0" fontId="1" fillId="6" borderId="9" xfId="0" applyFont="1" applyFill="1" applyBorder="1" applyAlignment="1">
      <alignment horizontal="center" vertical="center" wrapText="1"/>
    </xf>
    <xf numFmtId="0" fontId="1" fillId="6" borderId="10" xfId="0" applyFont="1" applyFill="1" applyBorder="1" applyAlignment="1">
      <alignment horizontal="center" vertical="center" wrapText="1"/>
    </xf>
    <xf numFmtId="4" fontId="2" fillId="0" borderId="0" xfId="0" applyNumberFormat="1" applyFont="1" applyAlignment="1">
      <alignment vertical="center"/>
    </xf>
  </cellXfs>
  <cellStyles count="1">
    <cellStyle name="Normal" xfId="0" builtinId="0"/>
  </cellStyles>
  <dxfs count="0"/>
  <tableStyles count="0" defaultTableStyle="TableStyleMedium9" defaultPivotStyle="PivotStyleLight16"/>
  <colors>
    <mruColors>
      <color rgb="FFFFFFCC"/>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B1:H21"/>
  <sheetViews>
    <sheetView showGridLines="0" showZeros="0" tabSelected="1" zoomScaleNormal="100" workbookViewId="0">
      <selection activeCell="B2" sqref="B2:F2"/>
    </sheetView>
  </sheetViews>
  <sheetFormatPr baseColWidth="10" defaultRowHeight="15.75"/>
  <cols>
    <col min="1" max="1" width="3.7109375" style="1" customWidth="1"/>
    <col min="2" max="2" width="40.7109375" style="1" customWidth="1"/>
    <col min="3" max="6" width="12.7109375" style="1" customWidth="1"/>
    <col min="7" max="16384" width="11.42578125" style="1"/>
  </cols>
  <sheetData>
    <row r="1" spans="2:8" ht="16.5" thickBot="1">
      <c r="B1" s="2"/>
    </row>
    <row r="2" spans="2:8" ht="31.5" customHeight="1" thickBot="1">
      <c r="B2" s="58" t="s">
        <v>7</v>
      </c>
      <c r="C2" s="59"/>
      <c r="D2" s="59"/>
      <c r="E2" s="59"/>
      <c r="F2" s="60"/>
    </row>
    <row r="3" spans="2:8" ht="31.5" customHeight="1">
      <c r="B3" s="5" t="s">
        <v>8</v>
      </c>
      <c r="C3" s="6" t="s">
        <v>0</v>
      </c>
      <c r="D3" s="6" t="s">
        <v>6</v>
      </c>
      <c r="E3" s="6" t="s">
        <v>9</v>
      </c>
      <c r="F3" s="7" t="s">
        <v>10</v>
      </c>
    </row>
    <row r="4" spans="2:8" ht="15.75" customHeight="1">
      <c r="B4" s="8" t="s">
        <v>11</v>
      </c>
      <c r="C4" s="13"/>
      <c r="D4" s="3"/>
      <c r="E4" s="3"/>
      <c r="F4" s="9"/>
    </row>
    <row r="5" spans="2:8" ht="15.75" customHeight="1">
      <c r="B5" s="10" t="s">
        <v>13</v>
      </c>
      <c r="C5" s="42">
        <f>15</f>
        <v>15</v>
      </c>
      <c r="D5" s="43">
        <f>480000/1200000</f>
        <v>0.4</v>
      </c>
      <c r="E5" s="4">
        <f>C5*D5</f>
        <v>6</v>
      </c>
      <c r="F5" s="9"/>
    </row>
    <row r="6" spans="2:8" ht="15.75" customHeight="1">
      <c r="B6" s="10" t="s">
        <v>14</v>
      </c>
      <c r="C6" s="42">
        <f>10</f>
        <v>10</v>
      </c>
      <c r="D6" s="43">
        <f>(480000+144000+80000+120000+172000)/1200000</f>
        <v>0.83</v>
      </c>
      <c r="E6" s="4">
        <f t="shared" ref="E6:E7" si="0">C6*D6</f>
        <v>8.2999999999999989</v>
      </c>
      <c r="F6" s="9"/>
    </row>
    <row r="7" spans="2:8" ht="15.75" customHeight="1">
      <c r="B7" s="10" t="s">
        <v>16</v>
      </c>
      <c r="C7" s="42">
        <f>(40%*30)+(40%*60)</f>
        <v>36</v>
      </c>
      <c r="D7" s="43">
        <f>(1200000*1.2)/1200000</f>
        <v>1.2</v>
      </c>
      <c r="E7" s="4">
        <f t="shared" si="0"/>
        <v>43.199999999999996</v>
      </c>
      <c r="F7" s="9"/>
    </row>
    <row r="8" spans="2:8" ht="15.75" customHeight="1">
      <c r="B8" s="10" t="s">
        <v>1</v>
      </c>
      <c r="C8" s="42">
        <f>(30/2)+21</f>
        <v>36</v>
      </c>
      <c r="D8" s="44">
        <f>((480000+120000+60000)*20%)/1200000</f>
        <v>0.11</v>
      </c>
      <c r="E8" s="4">
        <f>C8*D8</f>
        <v>3.96</v>
      </c>
      <c r="F8" s="9"/>
    </row>
    <row r="9" spans="2:8" ht="15.75" customHeight="1">
      <c r="B9" s="8" t="s">
        <v>10</v>
      </c>
      <c r="C9" s="15"/>
      <c r="D9" s="14"/>
      <c r="E9" s="3"/>
      <c r="F9" s="9"/>
    </row>
    <row r="10" spans="2:8" ht="15.75" customHeight="1">
      <c r="B10" s="11" t="s">
        <v>17</v>
      </c>
      <c r="C10" s="42">
        <f>30</f>
        <v>30</v>
      </c>
      <c r="D10" s="44">
        <f>(480000*1.2)/1200000</f>
        <v>0.48</v>
      </c>
      <c r="E10" s="3"/>
      <c r="F10" s="12">
        <f t="shared" ref="F10:F15" si="1">C10*D10</f>
        <v>14.399999999999999</v>
      </c>
    </row>
    <row r="11" spans="2:8" ht="15.75" customHeight="1">
      <c r="B11" s="11" t="s">
        <v>18</v>
      </c>
      <c r="C11" s="42">
        <f>15</f>
        <v>15</v>
      </c>
      <c r="D11" s="44">
        <f>((120000*1.2)+172000)/1200000</f>
        <v>0.26333333333333331</v>
      </c>
      <c r="E11" s="3"/>
      <c r="F11" s="12">
        <f t="shared" si="1"/>
        <v>3.9499999999999997</v>
      </c>
    </row>
    <row r="12" spans="2:8" ht="15.75" customHeight="1">
      <c r="B12" s="11" t="s">
        <v>19</v>
      </c>
      <c r="C12" s="42">
        <f>20</f>
        <v>20</v>
      </c>
      <c r="D12" s="44">
        <f>60000*1.2/1200000</f>
        <v>0.06</v>
      </c>
      <c r="E12" s="3"/>
      <c r="F12" s="12">
        <f t="shared" si="1"/>
        <v>1.2</v>
      </c>
    </row>
    <row r="13" spans="2:8" ht="15.75" customHeight="1">
      <c r="B13" s="11" t="s">
        <v>2</v>
      </c>
      <c r="C13" s="42">
        <f>30/2</f>
        <v>15</v>
      </c>
      <c r="D13" s="44">
        <f>(144000+36000)/1200000</f>
        <v>0.15</v>
      </c>
      <c r="E13" s="3"/>
      <c r="F13" s="12">
        <f t="shared" si="1"/>
        <v>2.25</v>
      </c>
      <c r="H13" s="21"/>
    </row>
    <row r="14" spans="2:8" ht="15.75" customHeight="1">
      <c r="B14" s="11" t="s">
        <v>3</v>
      </c>
      <c r="C14" s="42">
        <f>(30/2)+15</f>
        <v>30</v>
      </c>
      <c r="D14" s="44">
        <f>(80000+20000)/1200000</f>
        <v>8.3333333333333329E-2</v>
      </c>
      <c r="E14" s="3"/>
      <c r="F14" s="12">
        <f t="shared" si="1"/>
        <v>2.5</v>
      </c>
    </row>
    <row r="15" spans="2:8" ht="15.75" customHeight="1">
      <c r="B15" s="11" t="s">
        <v>4</v>
      </c>
      <c r="C15" s="42">
        <f>(30/2)+21</f>
        <v>36</v>
      </c>
      <c r="D15" s="43">
        <v>0.2</v>
      </c>
      <c r="E15" s="3"/>
      <c r="F15" s="12">
        <f t="shared" si="1"/>
        <v>7.2</v>
      </c>
    </row>
    <row r="16" spans="2:8" ht="15.75" customHeight="1">
      <c r="B16" s="61" t="s">
        <v>12</v>
      </c>
      <c r="C16" s="62"/>
      <c r="D16" s="62"/>
      <c r="E16" s="19">
        <f>SUM(E5:E8)</f>
        <v>61.459999999999994</v>
      </c>
      <c r="F16" s="20">
        <f>SUM(F10:F15)</f>
        <v>31.499999999999996</v>
      </c>
      <c r="H16" s="18"/>
    </row>
    <row r="17" spans="2:6" ht="15.75" customHeight="1" thickBot="1">
      <c r="B17" s="55" t="s">
        <v>5</v>
      </c>
      <c r="C17" s="56"/>
      <c r="D17" s="57"/>
      <c r="E17" s="63">
        <f>E16-F16</f>
        <v>29.959999999999997</v>
      </c>
      <c r="F17" s="64"/>
    </row>
    <row r="18" spans="2:6" s="17" customFormat="1" ht="15.75" customHeight="1">
      <c r="B18" s="65" t="s">
        <v>8</v>
      </c>
      <c r="C18" s="66"/>
      <c r="D18" s="67"/>
      <c r="E18" s="22" t="s">
        <v>22</v>
      </c>
      <c r="F18" s="23" t="s">
        <v>23</v>
      </c>
    </row>
    <row r="19" spans="2:6" ht="15.75" customHeight="1">
      <c r="B19" s="49" t="s">
        <v>20</v>
      </c>
      <c r="C19" s="50"/>
      <c r="D19" s="51"/>
      <c r="E19" s="24">
        <f>12000*100</f>
        <v>1200000</v>
      </c>
      <c r="F19" s="16">
        <v>1000000</v>
      </c>
    </row>
    <row r="20" spans="2:6" ht="15.75" customHeight="1">
      <c r="B20" s="49" t="s">
        <v>21</v>
      </c>
      <c r="C20" s="50"/>
      <c r="D20" s="51"/>
      <c r="E20" s="24">
        <f t="shared" ref="E20:F20" si="2">E19/360</f>
        <v>3333.3333333333335</v>
      </c>
      <c r="F20" s="16">
        <f t="shared" si="2"/>
        <v>2777.7777777777778</v>
      </c>
    </row>
    <row r="21" spans="2:6" ht="15.75" customHeight="1" thickBot="1">
      <c r="B21" s="52" t="s">
        <v>15</v>
      </c>
      <c r="C21" s="53"/>
      <c r="D21" s="54"/>
      <c r="E21" s="25">
        <f>E20*E17</f>
        <v>99866.666666666657</v>
      </c>
      <c r="F21" s="26">
        <f>F20*E17</f>
        <v>83222.222222222219</v>
      </c>
    </row>
  </sheetData>
  <sheetProtection sheet="1" objects="1" scenarios="1"/>
  <mergeCells count="8">
    <mergeCell ref="B19:D19"/>
    <mergeCell ref="B20:D20"/>
    <mergeCell ref="B21:D21"/>
    <mergeCell ref="B17:D17"/>
    <mergeCell ref="B2:F2"/>
    <mergeCell ref="B16:D16"/>
    <mergeCell ref="E17:F17"/>
    <mergeCell ref="B18:D18"/>
  </mergeCells>
  <phoneticPr fontId="0" type="noConversion"/>
  <pageMargins left="0.19685039370078741" right="0.19685039370078741" top="0.39370078740157483" bottom="0.39370078740157483" header="0.51181102362204722" footer="0.51181102362204722"/>
  <pageSetup paperSize="9" orientation="portrait" horizontalDpi="300" verticalDpi="300" r:id="rId1"/>
  <headerFooter alignWithMargins="0"/>
  <legacyDrawing r:id="rId2"/>
</worksheet>
</file>

<file path=xl/worksheets/sheet2.xml><?xml version="1.0" encoding="utf-8"?>
<worksheet xmlns="http://schemas.openxmlformats.org/spreadsheetml/2006/main" xmlns:r="http://schemas.openxmlformats.org/officeDocument/2006/relationships">
  <dimension ref="B1:H14"/>
  <sheetViews>
    <sheetView showGridLines="0" showZeros="0" zoomScaleNormal="100" workbookViewId="0">
      <selection activeCell="B2" sqref="B2:F2"/>
    </sheetView>
  </sheetViews>
  <sheetFormatPr baseColWidth="10" defaultRowHeight="15.75"/>
  <cols>
    <col min="1" max="1" width="3.7109375" style="1" customWidth="1"/>
    <col min="2" max="2" width="40.7109375" style="1" customWidth="1"/>
    <col min="3" max="6" width="12.7109375" style="1" customWidth="1"/>
    <col min="7" max="16384" width="11.42578125" style="1"/>
  </cols>
  <sheetData>
    <row r="1" spans="2:8" ht="16.5" thickBot="1">
      <c r="B1" s="2"/>
    </row>
    <row r="2" spans="2:8" ht="20.100000000000001" customHeight="1">
      <c r="B2" s="68" t="s">
        <v>24</v>
      </c>
      <c r="C2" s="69"/>
      <c r="D2" s="69"/>
      <c r="E2" s="69"/>
      <c r="F2" s="70"/>
    </row>
    <row r="3" spans="2:8" ht="63">
      <c r="B3" s="31" t="s">
        <v>25</v>
      </c>
      <c r="C3" s="29" t="s">
        <v>26</v>
      </c>
      <c r="D3" s="29" t="s">
        <v>27</v>
      </c>
      <c r="E3" s="29" t="s">
        <v>28</v>
      </c>
      <c r="F3" s="32" t="s">
        <v>29</v>
      </c>
    </row>
    <row r="4" spans="2:8">
      <c r="B4" s="10" t="s">
        <v>13</v>
      </c>
      <c r="C4" s="24">
        <v>19000</v>
      </c>
      <c r="D4" s="35">
        <f>'Travail 1'!$F$19/360*'Travail 1'!E5</f>
        <v>16666.666666666668</v>
      </c>
      <c r="E4" s="35">
        <f>C4-D4</f>
        <v>2333.3333333333321</v>
      </c>
      <c r="F4" s="47" t="s">
        <v>33</v>
      </c>
    </row>
    <row r="5" spans="2:8">
      <c r="B5" s="10" t="s">
        <v>14</v>
      </c>
      <c r="C5" s="24">
        <v>29000</v>
      </c>
      <c r="D5" s="35">
        <f>'Travail 1'!$F$19/360*'Travail 1'!E6</f>
        <v>23055.555555555555</v>
      </c>
      <c r="E5" s="35">
        <f t="shared" ref="E5:E7" si="0">C5-D5</f>
        <v>5944.4444444444453</v>
      </c>
      <c r="F5" s="47" t="s">
        <v>34</v>
      </c>
    </row>
    <row r="6" spans="2:8">
      <c r="B6" s="10" t="s">
        <v>16</v>
      </c>
      <c r="C6" s="24">
        <v>180000</v>
      </c>
      <c r="D6" s="35">
        <f>'Travail 1'!$F$19/360*'Travail 1'!E7</f>
        <v>119999.99999999999</v>
      </c>
      <c r="E6" s="35">
        <f t="shared" si="0"/>
        <v>60000.000000000015</v>
      </c>
      <c r="F6" s="47" t="s">
        <v>34</v>
      </c>
    </row>
    <row r="7" spans="2:8">
      <c r="B7" s="10" t="s">
        <v>1</v>
      </c>
      <c r="C7" s="24">
        <v>12397</v>
      </c>
      <c r="D7" s="35">
        <f>'Travail 1'!$F$19/360*'Travail 1'!E8</f>
        <v>11000</v>
      </c>
      <c r="E7" s="35">
        <f t="shared" si="0"/>
        <v>1397</v>
      </c>
      <c r="F7" s="47" t="s">
        <v>34</v>
      </c>
    </row>
    <row r="8" spans="2:8">
      <c r="B8" s="36" t="s">
        <v>12</v>
      </c>
      <c r="C8" s="37">
        <f>SUM(C4:C7)</f>
        <v>240397</v>
      </c>
      <c r="D8" s="37">
        <f t="shared" ref="D8:E8" si="1">SUM(D4:D7)</f>
        <v>170722.22222222219</v>
      </c>
      <c r="E8" s="37">
        <f t="shared" si="1"/>
        <v>69674.777777777796</v>
      </c>
      <c r="F8" s="41"/>
      <c r="H8" s="71"/>
    </row>
    <row r="9" spans="2:8" ht="63">
      <c r="B9" s="33" t="s">
        <v>30</v>
      </c>
      <c r="C9" s="30" t="s">
        <v>26</v>
      </c>
      <c r="D9" s="30" t="s">
        <v>27</v>
      </c>
      <c r="E9" s="30" t="s">
        <v>28</v>
      </c>
      <c r="F9" s="34" t="s">
        <v>29</v>
      </c>
    </row>
    <row r="10" spans="2:8">
      <c r="B10" s="11" t="s">
        <v>17</v>
      </c>
      <c r="C10" s="24">
        <v>48000</v>
      </c>
      <c r="D10" s="35">
        <f>'Travail 1'!$F$19/360*'Travail 1'!F10</f>
        <v>40000</v>
      </c>
      <c r="E10" s="35">
        <f>C10-D10</f>
        <v>8000</v>
      </c>
      <c r="F10" s="47" t="s">
        <v>33</v>
      </c>
    </row>
    <row r="11" spans="2:8">
      <c r="B11" s="11" t="s">
        <v>31</v>
      </c>
      <c r="C11" s="24">
        <v>35000</v>
      </c>
      <c r="D11" s="35">
        <f>'Travail 1'!$F$19/360*('Travail 1'!F11+'Travail 1'!F12+'Travail 1'!F13+'Travail 1'!F14)</f>
        <v>27499.999999999996</v>
      </c>
      <c r="E11" s="35">
        <f t="shared" ref="E11:E12" si="2">C11-D11</f>
        <v>7500.0000000000036</v>
      </c>
      <c r="F11" s="47" t="s">
        <v>33</v>
      </c>
    </row>
    <row r="12" spans="2:8">
      <c r="B12" s="11" t="s">
        <v>4</v>
      </c>
      <c r="C12" s="24">
        <v>22540</v>
      </c>
      <c r="D12" s="35">
        <f>'Travail 1'!$F$19/360*'Travail 1'!F15</f>
        <v>20000</v>
      </c>
      <c r="E12" s="35">
        <f t="shared" si="2"/>
        <v>2540</v>
      </c>
      <c r="F12" s="47" t="s">
        <v>33</v>
      </c>
    </row>
    <row r="13" spans="2:8">
      <c r="B13" s="38" t="s">
        <v>12</v>
      </c>
      <c r="C13" s="37">
        <f>SUM(C10:C12)</f>
        <v>105540</v>
      </c>
      <c r="D13" s="37">
        <f t="shared" ref="D13:E13" si="3">SUM(D10:D12)</f>
        <v>87500</v>
      </c>
      <c r="E13" s="37">
        <f t="shared" si="3"/>
        <v>18040.000000000004</v>
      </c>
      <c r="F13" s="41"/>
    </row>
    <row r="14" spans="2:8" ht="16.5" thickBot="1">
      <c r="B14" s="39" t="s">
        <v>32</v>
      </c>
      <c r="C14" s="40">
        <f>C8-C13</f>
        <v>134857</v>
      </c>
      <c r="D14" s="40">
        <f t="shared" ref="D14:E14" si="4">D8-D13</f>
        <v>83222.22222222219</v>
      </c>
      <c r="E14" s="40">
        <f t="shared" si="4"/>
        <v>51634.777777777796</v>
      </c>
      <c r="F14" s="48" t="s">
        <v>34</v>
      </c>
    </row>
  </sheetData>
  <sheetProtection sheet="1" objects="1" scenarios="1"/>
  <mergeCells count="1">
    <mergeCell ref="B2:F2"/>
  </mergeCells>
  <pageMargins left="0.19685039370078741" right="0.19685039370078741" top="0.39370078740157483" bottom="0.39370078740157483" header="0.51181102362204722" footer="0.51181102362204722"/>
  <pageSetup paperSize="9" orientation="portrait" horizontalDpi="300" verticalDpi="300" r:id="rId1"/>
  <headerFooter alignWithMargins="0"/>
  <legacyDrawing r:id="rId2"/>
</worksheet>
</file>

<file path=xl/worksheets/sheet3.xml><?xml version="1.0" encoding="utf-8"?>
<worksheet xmlns="http://schemas.openxmlformats.org/spreadsheetml/2006/main" xmlns:r="http://schemas.openxmlformats.org/officeDocument/2006/relationships">
  <dimension ref="B1:B5"/>
  <sheetViews>
    <sheetView showGridLines="0" workbookViewId="0">
      <selection activeCell="B2" sqref="B2"/>
    </sheetView>
  </sheetViews>
  <sheetFormatPr baseColWidth="10" defaultRowHeight="15.75"/>
  <cols>
    <col min="1" max="1" width="3.7109375" style="27" customWidth="1"/>
    <col min="2" max="2" width="80.7109375" style="27" customWidth="1"/>
    <col min="3" max="16384" width="11.42578125" style="27"/>
  </cols>
  <sheetData>
    <row r="1" spans="2:2" ht="16.5" thickBot="1"/>
    <row r="2" spans="2:2" ht="16.5" thickBot="1">
      <c r="B2" s="28" t="s">
        <v>36</v>
      </c>
    </row>
    <row r="3" spans="2:2" ht="99.95" customHeight="1" thickBot="1">
      <c r="B3" s="46" t="s">
        <v>35</v>
      </c>
    </row>
    <row r="5" spans="2:2">
      <c r="B5" s="45"/>
    </row>
  </sheetData>
  <sheetProtection sheet="1" objects="1" scenarios="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Travail 1</vt:lpstr>
      <vt:lpstr>Travail 2</vt:lpstr>
      <vt:lpstr>Travail 3</vt:lpstr>
    </vt:vector>
  </TitlesOfParts>
  <Manager>GEA Brive</Manager>
  <Company>IUT du Limousin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843 FC-GTDFA- TD</dc:title>
  <dc:subject>BFRN : TD 1 Soldo</dc:subject>
  <dc:creator>Daniel Antraigue</dc:creator>
  <cp:lastModifiedBy>technicien</cp:lastModifiedBy>
  <cp:lastPrinted>2012-04-18T14:30:50Z</cp:lastPrinted>
  <dcterms:created xsi:type="dcterms:W3CDTF">2002-03-22T08:07:24Z</dcterms:created>
  <dcterms:modified xsi:type="dcterms:W3CDTF">2015-06-17T19:08:30Z</dcterms:modified>
  <cp:category>IEL</cp:category>
</cp:coreProperties>
</file>