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60" windowWidth="9180" windowHeight="4245"/>
  </bookViews>
  <sheets>
    <sheet name="Correction" sheetId="1" r:id="rId1"/>
  </sheets>
  <calcPr calcId="125725"/>
</workbook>
</file>

<file path=xl/calcChain.xml><?xml version="1.0" encoding="utf-8"?>
<calcChain xmlns="http://schemas.openxmlformats.org/spreadsheetml/2006/main">
  <c r="D9" i="1"/>
  <c r="E9"/>
  <c r="D25"/>
  <c r="D26" s="1"/>
  <c r="D30" s="1"/>
  <c r="E25"/>
  <c r="F25"/>
  <c r="F26" s="1"/>
  <c r="F30" s="1"/>
  <c r="E26"/>
  <c r="E30" s="1"/>
  <c r="C5"/>
  <c r="D5"/>
  <c r="E5"/>
  <c r="C6"/>
  <c r="D6"/>
  <c r="E6"/>
  <c r="C7"/>
  <c r="E7" s="1"/>
  <c r="C8"/>
  <c r="E8"/>
  <c r="C9"/>
  <c r="C11"/>
  <c r="F11"/>
  <c r="C12"/>
  <c r="F12" s="1"/>
  <c r="C13"/>
  <c r="F13"/>
  <c r="C14"/>
  <c r="F14" s="1"/>
  <c r="C15"/>
  <c r="D15"/>
  <c r="F15" s="1"/>
  <c r="C16"/>
  <c r="D16"/>
  <c r="F16"/>
  <c r="C17"/>
  <c r="F17"/>
  <c r="E18" l="1"/>
  <c r="F18"/>
  <c r="E19" s="1"/>
  <c r="D27" l="1"/>
  <c r="F27"/>
  <c r="E27"/>
  <c r="D28" l="1"/>
  <c r="D31" s="1"/>
  <c r="D32"/>
  <c r="F28"/>
  <c r="F31" s="1"/>
  <c r="F32"/>
  <c r="E28"/>
  <c r="E31" s="1"/>
  <c r="E32"/>
</calcChain>
</file>

<file path=xl/comments1.xml><?xml version="1.0" encoding="utf-8"?>
<comments xmlns="http://schemas.openxmlformats.org/spreadsheetml/2006/main">
  <authors>
    <author>Carlos JANUARIO</author>
  </authors>
  <commentList>
    <comment ref="C5" authorId="0">
      <text>
        <r>
          <rPr>
            <sz val="8"/>
            <color indexed="81"/>
            <rFont val="Tahoma"/>
            <family val="2"/>
          </rPr>
          <t>Coût d'achat des matières 1ères consommées = Achats + Stock initial - Stock final
=&gt; 180 000 € + 40 000 € - 30 000 €
=&gt; 190 000 €
Durée moyenne = (Stock moyen  / Coût d'achat des matières 1ères consommées) x 360 jours
                          = ((SI + SF) / 2) / Coût d'achat des matières 1ères consommées) x 360 jours
=&gt;((40 000 € + 30 000 €) / 2) / 190 000 € x 360 jours
=&gt; 66 jours</t>
        </r>
      </text>
    </comment>
    <comment ref="D5" authorId="0">
      <text>
        <r>
          <rPr>
            <sz val="8"/>
            <color indexed="81"/>
            <rFont val="Tahoma"/>
            <family val="2"/>
          </rPr>
          <t>Coût d'achat des matières 1ères consommées / Chiffre d'affaires  HT
=&gt; 190 000 € / (5 000 unités x 300 €)
=&gt; 190 000 € / 1 500 000 €</t>
        </r>
      </text>
    </comment>
    <comment ref="C6" authorId="0">
      <text>
        <r>
          <rPr>
            <sz val="8"/>
            <color indexed="81"/>
            <rFont val="Tahoma"/>
            <family val="2"/>
          </rPr>
          <t>Coût de production des produits finis vendus = Coût d'achat des matières 1ères consommées + Charges de main d'oeuvre + Fournitures + Autres charges de production + Stock initial de produits finis - Stock final de produits finis
=&gt; 190 000 € + 80 000 € + 50 000 € + 70 000 € + 50 000 € - 60 000 €
=&gt; 380 000 €
Durée moyenne = (Stock moyen  / Coût de production des produits finis vendus) x 360 jours
                          = ((SI + SF) / 2) / Coût de production des produits finis vendus) x 360 jours
=&gt;((50 000 € + 60 000 €) / 2) / 380 000 € x 360 jours
=&gt; 52 jours</t>
        </r>
      </text>
    </comment>
    <comment ref="D6" authorId="0">
      <text>
        <r>
          <rPr>
            <sz val="8"/>
            <color indexed="81"/>
            <rFont val="Tahoma"/>
            <family val="2"/>
          </rPr>
          <t>Coût de production des produits finis vendus / Chiffre d'affaires HT
=&gt; 380 000 € / 1 500 000 €</t>
        </r>
      </text>
    </comment>
    <comment ref="C7" authorId="0">
      <text>
        <r>
          <rPr>
            <sz val="8"/>
            <color indexed="81"/>
            <rFont val="Tahoma"/>
            <family val="2"/>
          </rPr>
          <t>((30/2) + 30) x 30 % = 13,5 jours arrondis a 13 jours</t>
        </r>
      </text>
    </comment>
    <comment ref="D7" authorId="0">
      <text>
        <r>
          <rPr>
            <sz val="8"/>
            <color indexed="81"/>
            <rFont val="Tahoma"/>
            <family val="2"/>
          </rPr>
          <t>Chiffre d'affaires TTC / Chiffre d'affaires HT
=&gt; (1 500 000 € x 1,20) / 1 500 000 €
=&gt; 1,20</t>
        </r>
      </text>
    </comment>
    <comment ref="C8" authorId="0">
      <text>
        <r>
          <rPr>
            <sz val="8"/>
            <color indexed="81"/>
            <rFont val="Tahoma"/>
            <family val="2"/>
          </rPr>
          <t>((30/2) + 60) x 40 % = 30 jours</t>
        </r>
      </text>
    </comment>
    <comment ref="D8" authorId="0">
      <text>
        <r>
          <rPr>
            <sz val="8"/>
            <color indexed="81"/>
            <rFont val="Tahoma"/>
            <family val="2"/>
          </rPr>
          <t>Chiffre d'affaires TTC / Chiffre d'affaires HT
=&gt; (1 500 000 € x 1,20) / 1 500 000 €
=&gt; 1,20</t>
        </r>
      </text>
    </comment>
    <comment ref="C9" authorId="0">
      <text>
        <r>
          <rPr>
            <sz val="8"/>
            <color indexed="81"/>
            <rFont val="Tahoma"/>
            <family val="2"/>
          </rPr>
          <t>(30/2) + 22 = 37 jours</t>
        </r>
      </text>
    </comment>
    <comment ref="D9" authorId="0">
      <text>
        <r>
          <rPr>
            <sz val="8"/>
            <color indexed="81"/>
            <rFont val="Tahoma"/>
            <family val="2"/>
          </rPr>
          <t>Achats x 19,6 % / Chiffre d'affaires HT
=&gt; (180 000 € + 50 000 € + 70 000 € + 20 000 €) x 20 % / 1 500 000</t>
        </r>
      </text>
    </comment>
    <comment ref="C11" authorId="0">
      <text>
        <r>
          <rPr>
            <sz val="8"/>
            <color indexed="81"/>
            <rFont val="Tahoma"/>
            <family val="2"/>
          </rPr>
          <t>((30/2) + 60 + 10) x 40 % = 34 jours</t>
        </r>
      </text>
    </comment>
    <comment ref="D11" authorId="0">
      <text>
        <r>
          <rPr>
            <sz val="8"/>
            <color indexed="81"/>
            <rFont val="Tahoma"/>
            <family val="2"/>
          </rPr>
          <t>Achats de matières premières TTC / Chiffre d'affaires HT
=&gt; (180 000 € x 1,20) / 1 500 000 €</t>
        </r>
      </text>
    </comment>
    <comment ref="C12" authorId="0">
      <text>
        <r>
          <rPr>
            <sz val="8"/>
            <color indexed="81"/>
            <rFont val="Tahoma"/>
            <family val="2"/>
          </rPr>
          <t>((30/2) + 90) x 50 % = 52 jours</t>
        </r>
      </text>
    </comment>
    <comment ref="D12" authorId="0">
      <text>
        <r>
          <rPr>
            <sz val="8"/>
            <color indexed="81"/>
            <rFont val="Tahoma"/>
            <family val="2"/>
          </rPr>
          <t>Achats de matières premières TTC / Chiffre d'affaires HT
=&gt; (180 000 € x 1,20) / 1 500 000 €</t>
        </r>
      </text>
    </comment>
    <comment ref="C13" authorId="0">
      <text>
        <r>
          <rPr>
            <sz val="8"/>
            <color indexed="81"/>
            <rFont val="Tahoma"/>
            <family val="2"/>
          </rPr>
          <t>(30/2) + 30 = 45 jours</t>
        </r>
      </text>
    </comment>
    <comment ref="D13" authorId="0">
      <text>
        <r>
          <rPr>
            <sz val="8"/>
            <color indexed="81"/>
            <rFont val="Tahoma"/>
            <family val="2"/>
          </rPr>
          <t>Autres achats TTC / Chiffre d'affaires HT
=&gt; ((50  000 € + 70 000 €) x 1,20) / 1 500 000 €</t>
        </r>
      </text>
    </comment>
    <comment ref="C14" authorId="0">
      <text>
        <r>
          <rPr>
            <sz val="8"/>
            <color indexed="81"/>
            <rFont val="Tahoma"/>
            <family val="2"/>
          </rPr>
          <t>(30/2) + 45 = 60 jours</t>
        </r>
      </text>
    </comment>
    <comment ref="D14" authorId="0">
      <text>
        <r>
          <rPr>
            <sz val="8"/>
            <color indexed="81"/>
            <rFont val="Tahoma"/>
            <family val="2"/>
          </rPr>
          <t>Charges de distribution TTC / Chiffre d'affaires HT
=&gt; (20  000 € x 1,20) / 1 500 000 €</t>
        </r>
      </text>
    </comment>
    <comment ref="C15" authorId="0">
      <text>
        <r>
          <rPr>
            <sz val="8"/>
            <color indexed="81"/>
            <rFont val="Tahoma"/>
            <family val="2"/>
          </rPr>
          <t>(30/2) = 15 jours</t>
        </r>
      </text>
    </comment>
    <comment ref="D15" authorId="0">
      <text>
        <r>
          <rPr>
            <sz val="8"/>
            <color indexed="81"/>
            <rFont val="Tahoma"/>
            <family val="2"/>
          </rPr>
          <t>Salaires nets / Chiffre d'affaires HT
=&gt; (Salaires bruts x 80 %) / Chiffre d'affaires HT
=&gt; (80 000 € x 80 %) / 1 500 000 €</t>
        </r>
      </text>
    </comment>
    <comment ref="C16" authorId="0">
      <text>
        <r>
          <rPr>
            <sz val="8"/>
            <color indexed="81"/>
            <rFont val="Tahoma"/>
            <family val="2"/>
          </rPr>
          <t>(30/2) + 15 = 30 jours</t>
        </r>
      </text>
    </comment>
    <comment ref="D16" authorId="0">
      <text>
        <r>
          <rPr>
            <sz val="8"/>
            <color indexed="81"/>
            <rFont val="Tahoma"/>
            <family val="2"/>
          </rPr>
          <t>Charges sociales / Chiffre d'affaires HT
= (80 000 € x (20 % + 40 %)) / 1 500 000 €</t>
        </r>
      </text>
    </comment>
    <comment ref="C17" authorId="0">
      <text>
        <r>
          <rPr>
            <sz val="8"/>
            <color indexed="81"/>
            <rFont val="Tahoma"/>
            <family val="2"/>
          </rPr>
          <t>(30/2) + 22 = 37 jours</t>
        </r>
      </text>
    </comment>
    <comment ref="D17" authorId="0">
      <text>
        <r>
          <rPr>
            <sz val="8"/>
            <color indexed="81"/>
            <rFont val="Tahoma"/>
            <family val="2"/>
          </rPr>
          <t>20 % du Chiffre d'affaires HT</t>
        </r>
      </text>
    </comment>
    <comment ref="E19" authorId="0">
      <text>
        <r>
          <rPr>
            <sz val="8"/>
            <color indexed="81"/>
            <rFont val="Tahoma"/>
            <family val="2"/>
          </rPr>
          <t>Besoins - Ressources</t>
        </r>
      </text>
    </comment>
    <comment ref="D25" authorId="0">
      <text>
        <r>
          <rPr>
            <sz val="8"/>
            <color indexed="81"/>
            <rFont val="Tahoma"/>
            <family val="2"/>
          </rPr>
          <t>Prix de vente HT x Quantité
60 € x 3 000 produits finis</t>
        </r>
      </text>
    </comment>
    <comment ref="E25" authorId="0">
      <text>
        <r>
          <rPr>
            <sz val="8"/>
            <color indexed="81"/>
            <rFont val="Tahoma"/>
            <family val="2"/>
          </rPr>
          <t>Prix de vente HT x Quantité
60 € x 3 000 produits finis</t>
        </r>
      </text>
    </comment>
    <comment ref="F25" authorId="0">
      <text>
        <r>
          <rPr>
            <sz val="8"/>
            <color indexed="81"/>
            <rFont val="Tahoma"/>
            <family val="2"/>
          </rPr>
          <t>Prix de vente HT x Quantité
60 € x 3 000 produits finis</t>
        </r>
      </text>
    </comment>
    <comment ref="D26" authorId="0">
      <text>
        <r>
          <rPr>
            <sz val="8"/>
            <color indexed="81"/>
            <rFont val="Tahoma"/>
            <family val="2"/>
          </rPr>
          <t>CA annuel / 360 jours
1 500 000 € / 360 jours</t>
        </r>
      </text>
    </comment>
    <comment ref="E26" authorId="0">
      <text>
        <r>
          <rPr>
            <sz val="8"/>
            <color indexed="81"/>
            <rFont val="Tahoma"/>
            <family val="2"/>
          </rPr>
          <t>CA annuel / 360 jours
1 440 000 € / 360 jours</t>
        </r>
      </text>
    </comment>
    <comment ref="F26" authorId="0">
      <text>
        <r>
          <rPr>
            <sz val="8"/>
            <color indexed="81"/>
            <rFont val="Tahoma"/>
            <family val="2"/>
          </rPr>
          <t>CA annuel / 360 jours
1 680 000 € / 360 jours</t>
        </r>
      </text>
    </comment>
    <comment ref="D27" authorId="0">
      <text>
        <r>
          <rPr>
            <sz val="8"/>
            <color indexed="81"/>
            <rFont val="Tahoma"/>
            <family val="2"/>
          </rPr>
          <t>BFRN en jours actuel</t>
        </r>
      </text>
    </comment>
    <comment ref="E27" authorId="0">
      <text>
        <r>
          <rPr>
            <sz val="8"/>
            <color indexed="81"/>
            <rFont val="Tahoma"/>
            <family val="2"/>
          </rPr>
          <t>BFRN actuel - Besoins liés aux créances clients actuels + Durée moyenne des crédits clients de l'hypothèse 2</t>
        </r>
      </text>
    </comment>
    <comment ref="F27" authorId="0">
      <text>
        <r>
          <rPr>
            <sz val="8"/>
            <color indexed="81"/>
            <rFont val="Tahoma"/>
            <family val="2"/>
          </rPr>
          <t>BFRN actuel - Besoins liés aux créances clients actuels - Besoins liés au stockage des produits finis</t>
        </r>
      </text>
    </comment>
    <comment ref="D28" authorId="0">
      <text>
        <r>
          <rPr>
            <sz val="8"/>
            <color indexed="81"/>
            <rFont val="Tahoma"/>
            <family val="2"/>
          </rPr>
          <t>Chiffre d'affaires par jour x  BFRN en jours de Chiffre d'affaires</t>
        </r>
      </text>
    </comment>
    <comment ref="E28" authorId="0">
      <text>
        <r>
          <rPr>
            <sz val="8"/>
            <color indexed="81"/>
            <rFont val="Tahoma"/>
            <family val="2"/>
          </rPr>
          <t>Chiffre d'affaires par jour x  BFRN en jours de Chiffre d'affaires</t>
        </r>
      </text>
    </comment>
    <comment ref="F28" authorId="0">
      <text>
        <r>
          <rPr>
            <sz val="8"/>
            <color indexed="81"/>
            <rFont val="Tahoma"/>
            <family val="2"/>
          </rPr>
          <t>Chiffre d'affaires par jour x  BFRN en jours de Chiffre d'affaires</t>
        </r>
      </text>
    </comment>
    <comment ref="D30" authorId="0">
      <text>
        <r>
          <rPr>
            <sz val="8"/>
            <color indexed="81"/>
            <rFont val="Tahoma"/>
            <family val="2"/>
          </rPr>
          <t>CA par jour x Trésorerie attendue en jours</t>
        </r>
      </text>
    </comment>
    <comment ref="E30" authorId="0">
      <text>
        <r>
          <rPr>
            <sz val="8"/>
            <color indexed="81"/>
            <rFont val="Tahoma"/>
            <family val="2"/>
          </rPr>
          <t>CA par jour x Trésorerie attendue en jours</t>
        </r>
      </text>
    </comment>
    <comment ref="F30" authorId="0">
      <text>
        <r>
          <rPr>
            <sz val="8"/>
            <color indexed="81"/>
            <rFont val="Tahoma"/>
            <family val="2"/>
          </rPr>
          <t>CA par jour x Trésorerie attendue en jours</t>
        </r>
      </text>
    </comment>
    <comment ref="D31" authorId="0">
      <text>
        <r>
          <rPr>
            <sz val="8"/>
            <color indexed="81"/>
            <rFont val="Tahoma"/>
            <family val="2"/>
          </rPr>
          <t>BFR en valeur + Trésorerie</t>
        </r>
      </text>
    </comment>
    <comment ref="E31" authorId="0">
      <text>
        <r>
          <rPr>
            <sz val="8"/>
            <color indexed="81"/>
            <rFont val="Tahoma"/>
            <family val="2"/>
          </rPr>
          <t>BFR en valeur + Trésorerie</t>
        </r>
      </text>
    </comment>
    <comment ref="F31" authorId="0">
      <text>
        <r>
          <rPr>
            <sz val="8"/>
            <color indexed="81"/>
            <rFont val="Tahoma"/>
            <family val="2"/>
          </rPr>
          <t>BFR en valeur + Trésorerie</t>
        </r>
      </text>
    </comment>
    <comment ref="D32" authorId="0">
      <text>
        <r>
          <rPr>
            <sz val="8"/>
            <color indexed="81"/>
            <rFont val="Tahoma"/>
            <family val="2"/>
          </rPr>
          <t>BFR en jours de CAHT + Trésorerie en jours de CAHT</t>
        </r>
      </text>
    </comment>
    <comment ref="E32" authorId="0">
      <text>
        <r>
          <rPr>
            <sz val="8"/>
            <color indexed="81"/>
            <rFont val="Tahoma"/>
            <family val="2"/>
          </rPr>
          <t>BFR en jours de CAHT + Trésorerie en jours de CAHT</t>
        </r>
      </text>
    </comment>
    <comment ref="F32" authorId="0">
      <text>
        <r>
          <rPr>
            <sz val="8"/>
            <color indexed="81"/>
            <rFont val="Tahoma"/>
            <family val="2"/>
          </rPr>
          <t>BFR en jours de CAHT + Trésorerie en jours de CAHT</t>
        </r>
      </text>
    </comment>
  </commentList>
</comments>
</file>

<file path=xl/sharedStrings.xml><?xml version="1.0" encoding="utf-8"?>
<sst xmlns="http://schemas.openxmlformats.org/spreadsheetml/2006/main" count="48" uniqueCount="42">
  <si>
    <t>Durées Moyennes</t>
  </si>
  <si>
    <t>TVA déductible</t>
  </si>
  <si>
    <t>Personnel</t>
  </si>
  <si>
    <t>Organismes Sociaux</t>
  </si>
  <si>
    <t>TVA collectée</t>
  </si>
  <si>
    <t>BFRN en jours</t>
  </si>
  <si>
    <t>CA annuel</t>
  </si>
  <si>
    <t>CA par jour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</si>
  <si>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</si>
  <si>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</si>
  <si>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</si>
  <si>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</si>
  <si>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</si>
  <si>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</si>
  <si>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</si>
  <si>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Clients à 30 jours fin de mois</t>
  </si>
  <si>
    <t>Clients à 60 jours fin de mois</t>
  </si>
  <si>
    <t>Stocks de matières premières</t>
  </si>
  <si>
    <t>Stocks de produits finis</t>
  </si>
  <si>
    <t>Quantité</t>
  </si>
  <si>
    <t>Fournisseurs de matières premières à 60 jours fin de mois le 10</t>
  </si>
  <si>
    <t>Fournisseurs de matières premières à 90 jours fin de mois</t>
  </si>
  <si>
    <t>Fournisseurs de services, de fournitures et de charges diverses</t>
  </si>
  <si>
    <t>Fournisseurs d'éléments pour la distribution</t>
  </si>
  <si>
    <t>H1</t>
  </si>
  <si>
    <t>H2</t>
  </si>
  <si>
    <t>H3</t>
  </si>
  <si>
    <t>Prix de vente unitaire HT</t>
  </si>
  <si>
    <t>BFRN en  valeur</t>
  </si>
  <si>
    <t>BFRN en  jours de chiffre d'affaires</t>
  </si>
  <si>
    <t>Trésorerie en valeur</t>
  </si>
  <si>
    <t>Trésorerie en  jours de chiffre d'affaires</t>
  </si>
  <si>
    <t>FRNG en valeur</t>
  </si>
  <si>
    <t>FRNG en  jours de chiffre d'affaires</t>
  </si>
  <si>
    <t>FONDS DE ROULEMENT NET GLOBAL</t>
  </si>
  <si>
    <t>Ordre des hypothèses à retenir selon les critères</t>
  </si>
  <si>
    <t>Critère "Trésorerie"</t>
  </si>
  <si>
    <t>Critère "BFRE"</t>
  </si>
  <si>
    <t>Critère "Fonds de Roulement"</t>
  </si>
  <si>
    <t>Lorque le BFRE est négatif, il y a un dégagement de ressources.</t>
  </si>
  <si>
    <t>Autres commentaires</t>
  </si>
  <si>
    <t>Il faut envisager de réduire la durée du crédit clients afin de diminuer le BFRE.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</si>
</sst>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1"/>
      <name val="Tahoma"/>
      <family val="2"/>
    </font>
    <font>
      <sz val="10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5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4" fillId="0" borderId="0" xfId="0" applyFont="1"/>
    <xf numFmtId="0" fontId="2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4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4" fillId="0" borderId="40" xfId="0" applyFont="1" applyFill="1" applyBorder="1"/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 indent="25"/>
    </xf>
    <xf numFmtId="0" fontId="1" fillId="5" borderId="16" xfId="0" applyFont="1" applyFill="1" applyBorder="1" applyAlignment="1">
      <alignment horizontal="left" vertical="center" indent="25"/>
    </xf>
    <xf numFmtId="0" fontId="1" fillId="5" borderId="17" xfId="0" applyFont="1" applyFill="1" applyBorder="1" applyAlignment="1">
      <alignment horizontal="left" vertical="center" indent="25"/>
    </xf>
    <xf numFmtId="0" fontId="1" fillId="3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5" borderId="18" xfId="0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showGridLines="0" tabSelected="1" zoomScaleNormal="100" workbookViewId="0">
      <selection activeCell="B2" sqref="B2:F2"/>
    </sheetView>
  </sheetViews>
  <sheetFormatPr baseColWidth="10" defaultRowHeight="15.75"/>
  <cols>
    <col min="1" max="1" width="3.7109375" style="1" customWidth="1"/>
    <col min="2" max="2" width="55.7109375" style="1" customWidth="1"/>
    <col min="3" max="6" width="12.7109375" style="1" customWidth="1"/>
    <col min="7" max="16384" width="11.42578125" style="1"/>
  </cols>
  <sheetData>
    <row r="1" spans="2:6" ht="16.5" thickBot="1">
      <c r="B1" s="2"/>
    </row>
    <row r="2" spans="2:6" ht="31.5" customHeight="1" thickBot="1">
      <c r="B2" s="81" t="s">
        <v>9</v>
      </c>
      <c r="C2" s="76"/>
      <c r="D2" s="76"/>
      <c r="E2" s="76"/>
      <c r="F2" s="77"/>
    </row>
    <row r="3" spans="2:6" ht="31.5" customHeight="1">
      <c r="B3" s="5" t="s">
        <v>10</v>
      </c>
      <c r="C3" s="6" t="s">
        <v>0</v>
      </c>
      <c r="D3" s="6" t="s">
        <v>8</v>
      </c>
      <c r="E3" s="6" t="s">
        <v>11</v>
      </c>
      <c r="F3" s="7" t="s">
        <v>12</v>
      </c>
    </row>
    <row r="4" spans="2:6" ht="15.75" customHeight="1">
      <c r="B4" s="8" t="s">
        <v>13</v>
      </c>
      <c r="C4" s="13"/>
      <c r="D4" s="3"/>
      <c r="E4" s="3"/>
      <c r="F4" s="9"/>
    </row>
    <row r="5" spans="2:6" ht="15.75" customHeight="1">
      <c r="B5" s="10" t="s">
        <v>17</v>
      </c>
      <c r="C5" s="50">
        <f>35000/190000*360</f>
        <v>66.315789473684205</v>
      </c>
      <c r="D5" s="14">
        <f>190000/1500000</f>
        <v>0.12666666666666668</v>
      </c>
      <c r="E5" s="4">
        <f>C5*D5</f>
        <v>8.4</v>
      </c>
      <c r="F5" s="9"/>
    </row>
    <row r="6" spans="2:6" ht="15.75" customHeight="1">
      <c r="B6" s="10" t="s">
        <v>18</v>
      </c>
      <c r="C6" s="50">
        <f>((50000+60000)/2)/380000*360</f>
        <v>52.10526315789474</v>
      </c>
      <c r="D6" s="14">
        <f>380000/1500000</f>
        <v>0.25333333333333335</v>
      </c>
      <c r="E6" s="4">
        <f t="shared" ref="E6:E7" si="0">C6*D6</f>
        <v>13.200000000000001</v>
      </c>
      <c r="F6" s="9"/>
    </row>
    <row r="7" spans="2:6" ht="15.75" customHeight="1">
      <c r="B7" s="10" t="s">
        <v>15</v>
      </c>
      <c r="C7" s="50">
        <f>ROUNDDOWN(((30/2)+30)*30%,0)</f>
        <v>13</v>
      </c>
      <c r="D7" s="14">
        <v>1.2</v>
      </c>
      <c r="E7" s="4">
        <f t="shared" si="0"/>
        <v>15.6</v>
      </c>
      <c r="F7" s="9"/>
    </row>
    <row r="8" spans="2:6" ht="15.75" customHeight="1">
      <c r="B8" s="10" t="s">
        <v>16</v>
      </c>
      <c r="C8" s="50">
        <f>((30/2) + 60)*40%</f>
        <v>30</v>
      </c>
      <c r="D8" s="14">
        <v>1.2</v>
      </c>
      <c r="E8" s="4">
        <f>C8*D8</f>
        <v>36</v>
      </c>
      <c r="F8" s="9"/>
    </row>
    <row r="9" spans="2:6" ht="15.75" customHeight="1">
      <c r="B9" s="10" t="s">
        <v>1</v>
      </c>
      <c r="C9" s="50">
        <f>(30/2)+22</f>
        <v>37</v>
      </c>
      <c r="D9" s="51">
        <f>(320000*0.2)/1500000</f>
        <v>4.2666666666666665E-2</v>
      </c>
      <c r="E9" s="4">
        <f>C9*D9</f>
        <v>1.5786666666666667</v>
      </c>
      <c r="F9" s="9"/>
    </row>
    <row r="10" spans="2:6" ht="15.75" customHeight="1">
      <c r="B10" s="8" t="s">
        <v>12</v>
      </c>
      <c r="C10" s="15"/>
      <c r="D10" s="14"/>
      <c r="E10" s="3"/>
      <c r="F10" s="9"/>
    </row>
    <row r="11" spans="2:6" ht="15.75" customHeight="1">
      <c r="B11" s="11" t="s">
        <v>20</v>
      </c>
      <c r="C11" s="50">
        <f>((30/2) + 60 +10)*40%</f>
        <v>34</v>
      </c>
      <c r="D11" s="14">
        <v>0.14399999999999999</v>
      </c>
      <c r="E11" s="3"/>
      <c r="F11" s="12">
        <f t="shared" ref="F11:F17" si="1">C11*D11</f>
        <v>4.8959999999999999</v>
      </c>
    </row>
    <row r="12" spans="2:6" ht="15.75" customHeight="1">
      <c r="B12" s="11" t="s">
        <v>21</v>
      </c>
      <c r="C12" s="50">
        <f>ROUNDDOWN(((30/2)+90)*50%,0)</f>
        <v>52</v>
      </c>
      <c r="D12" s="14">
        <v>0.14399999999999999</v>
      </c>
      <c r="E12" s="3"/>
      <c r="F12" s="12">
        <f t="shared" si="1"/>
        <v>7.4879999999999995</v>
      </c>
    </row>
    <row r="13" spans="2:6" ht="15.75" customHeight="1">
      <c r="B13" s="11" t="s">
        <v>22</v>
      </c>
      <c r="C13" s="50">
        <f>(30/2)+30</f>
        <v>45</v>
      </c>
      <c r="D13" s="14">
        <v>9.6000000000000002E-2</v>
      </c>
      <c r="E13" s="3"/>
      <c r="F13" s="12">
        <f t="shared" si="1"/>
        <v>4.32</v>
      </c>
    </row>
    <row r="14" spans="2:6" ht="15.75" customHeight="1">
      <c r="B14" s="11" t="s">
        <v>23</v>
      </c>
      <c r="C14" s="50">
        <f>(30/2)+45</f>
        <v>60</v>
      </c>
      <c r="D14" s="14">
        <v>1.6E-2</v>
      </c>
      <c r="E14" s="3"/>
      <c r="F14" s="12">
        <f t="shared" ref="F14" si="2">C14*D14</f>
        <v>0.96</v>
      </c>
    </row>
    <row r="15" spans="2:6" ht="15.75" customHeight="1">
      <c r="B15" s="11" t="s">
        <v>2</v>
      </c>
      <c r="C15" s="50">
        <f>30/2</f>
        <v>15</v>
      </c>
      <c r="D15" s="14">
        <f>(80000*80%)/1500000</f>
        <v>4.2666666666666665E-2</v>
      </c>
      <c r="E15" s="3"/>
      <c r="F15" s="12">
        <f t="shared" si="1"/>
        <v>0.64</v>
      </c>
    </row>
    <row r="16" spans="2:6" ht="15.75" customHeight="1">
      <c r="B16" s="11" t="s">
        <v>3</v>
      </c>
      <c r="C16" s="50">
        <f>30/2+15</f>
        <v>30</v>
      </c>
      <c r="D16" s="14">
        <f>80000*0.6/1500000</f>
        <v>3.2000000000000001E-2</v>
      </c>
      <c r="E16" s="3"/>
      <c r="F16" s="12">
        <f t="shared" si="1"/>
        <v>0.96</v>
      </c>
    </row>
    <row r="17" spans="2:6" ht="15.75" customHeight="1">
      <c r="B17" s="11" t="s">
        <v>4</v>
      </c>
      <c r="C17" s="50">
        <f>30/2+22</f>
        <v>37</v>
      </c>
      <c r="D17" s="14">
        <v>0.2</v>
      </c>
      <c r="E17" s="3"/>
      <c r="F17" s="12">
        <f t="shared" si="1"/>
        <v>7.4</v>
      </c>
    </row>
    <row r="18" spans="2:6" ht="15.75" customHeight="1">
      <c r="B18" s="82" t="s">
        <v>14</v>
      </c>
      <c r="C18" s="83"/>
      <c r="D18" s="83"/>
      <c r="E18" s="26">
        <f>SUM(E5:E9)</f>
        <v>74.778666666666666</v>
      </c>
      <c r="F18" s="27">
        <f>SUM(F11:F17)</f>
        <v>26.664000000000001</v>
      </c>
    </row>
    <row r="19" spans="2:6" ht="15.75" customHeight="1" thickBot="1">
      <c r="B19" s="78" t="s">
        <v>5</v>
      </c>
      <c r="C19" s="79"/>
      <c r="D19" s="80"/>
      <c r="E19" s="84">
        <f>E18-F18</f>
        <v>48.114666666666665</v>
      </c>
      <c r="F19" s="85"/>
    </row>
    <row r="20" spans="2:6" s="21" customFormat="1" ht="15.75" customHeight="1" thickBot="1">
      <c r="B20" s="19"/>
      <c r="C20" s="19"/>
      <c r="D20" s="19"/>
      <c r="E20" s="20"/>
      <c r="F20" s="20"/>
    </row>
    <row r="21" spans="2:6" s="21" customFormat="1" ht="15.75" customHeight="1" thickBot="1">
      <c r="B21" s="75" t="s">
        <v>34</v>
      </c>
      <c r="C21" s="76"/>
      <c r="D21" s="76"/>
      <c r="E21" s="76"/>
      <c r="F21" s="77"/>
    </row>
    <row r="22" spans="2:6" s="21" customFormat="1" ht="15.75" customHeight="1" thickBot="1">
      <c r="B22" s="86" t="s">
        <v>10</v>
      </c>
      <c r="C22" s="87"/>
      <c r="D22" s="39" t="s">
        <v>24</v>
      </c>
      <c r="E22" s="39" t="s">
        <v>25</v>
      </c>
      <c r="F22" s="40" t="s">
        <v>26</v>
      </c>
    </row>
    <row r="23" spans="2:6" ht="15.75" customHeight="1">
      <c r="B23" s="35" t="s">
        <v>27</v>
      </c>
      <c r="C23" s="36"/>
      <c r="D23" s="52">
        <v>300</v>
      </c>
      <c r="E23" s="52">
        <v>320</v>
      </c>
      <c r="F23" s="53">
        <v>280</v>
      </c>
    </row>
    <row r="24" spans="2:6" ht="15.75" customHeight="1">
      <c r="B24" s="22" t="s">
        <v>19</v>
      </c>
      <c r="C24" s="23"/>
      <c r="D24" s="54">
        <v>5000</v>
      </c>
      <c r="E24" s="54">
        <v>4500</v>
      </c>
      <c r="F24" s="55">
        <v>6000</v>
      </c>
    </row>
    <row r="25" spans="2:6" ht="15.75" customHeight="1">
      <c r="B25" s="22" t="s">
        <v>6</v>
      </c>
      <c r="C25" s="23"/>
      <c r="D25" s="17">
        <f>D23*D24</f>
        <v>1500000</v>
      </c>
      <c r="E25" s="17">
        <f>E23*E24</f>
        <v>1440000</v>
      </c>
      <c r="F25" s="18">
        <f>F23*F24</f>
        <v>1680000</v>
      </c>
    </row>
    <row r="26" spans="2:6" ht="15.75" customHeight="1">
      <c r="B26" s="22" t="s">
        <v>7</v>
      </c>
      <c r="C26" s="23"/>
      <c r="D26" s="17">
        <f>D25/360</f>
        <v>4166.666666666667</v>
      </c>
      <c r="E26" s="17">
        <f>E25/360</f>
        <v>4000</v>
      </c>
      <c r="F26" s="18">
        <f>F25/360</f>
        <v>4666.666666666667</v>
      </c>
    </row>
    <row r="27" spans="2:6" ht="15.75" customHeight="1">
      <c r="B27" s="22" t="s">
        <v>29</v>
      </c>
      <c r="C27" s="23"/>
      <c r="D27" s="16">
        <f>E19</f>
        <v>48.114666666666665</v>
      </c>
      <c r="E27" s="16">
        <f>E19-E8-E7+50</f>
        <v>46.514666666666663</v>
      </c>
      <c r="F27" s="28">
        <f>E19-E8-E7-E6</f>
        <v>-16.685333333333336</v>
      </c>
    </row>
    <row r="28" spans="2:6" ht="15.75" customHeight="1">
      <c r="B28" s="22" t="s">
        <v>28</v>
      </c>
      <c r="C28" s="23"/>
      <c r="D28" s="29">
        <f>D27*D26</f>
        <v>200477.77777777778</v>
      </c>
      <c r="E28" s="29">
        <f t="shared" ref="E28:F28" si="3">E27*E26</f>
        <v>186058.66666666666</v>
      </c>
      <c r="F28" s="30">
        <f t="shared" si="3"/>
        <v>-77864.888888888905</v>
      </c>
    </row>
    <row r="29" spans="2:6" ht="15.75" customHeight="1">
      <c r="B29" s="22" t="s">
        <v>31</v>
      </c>
      <c r="C29" s="23"/>
      <c r="D29" s="16">
        <v>5</v>
      </c>
      <c r="E29" s="16">
        <v>5</v>
      </c>
      <c r="F29" s="28">
        <v>5</v>
      </c>
    </row>
    <row r="30" spans="2:6" ht="15.75" customHeight="1">
      <c r="B30" s="22" t="s">
        <v>30</v>
      </c>
      <c r="C30" s="23"/>
      <c r="D30" s="17">
        <f>D26*D29</f>
        <v>20833.333333333336</v>
      </c>
      <c r="E30" s="17">
        <f t="shared" ref="E30:F30" si="4">E26*E29</f>
        <v>20000</v>
      </c>
      <c r="F30" s="18">
        <f t="shared" si="4"/>
        <v>23333.333333333336</v>
      </c>
    </row>
    <row r="31" spans="2:6" ht="15.75" customHeight="1">
      <c r="B31" s="33" t="s">
        <v>32</v>
      </c>
      <c r="C31" s="34"/>
      <c r="D31" s="31">
        <f>D28+D30</f>
        <v>221311.11111111112</v>
      </c>
      <c r="E31" s="31">
        <f t="shared" ref="E31:F31" si="5">E28+E30</f>
        <v>206058.66666666666</v>
      </c>
      <c r="F31" s="32">
        <f t="shared" si="5"/>
        <v>-54531.555555555569</v>
      </c>
    </row>
    <row r="32" spans="2:6" ht="15.75" customHeight="1" thickBot="1">
      <c r="B32" s="24" t="s">
        <v>33</v>
      </c>
      <c r="C32" s="25"/>
      <c r="D32" s="37">
        <f>D27+D29</f>
        <v>53.114666666666665</v>
      </c>
      <c r="E32" s="37">
        <f t="shared" ref="E32:F32" si="6">E27+E29</f>
        <v>51.514666666666663</v>
      </c>
      <c r="F32" s="38">
        <f t="shared" si="6"/>
        <v>-11.685333333333336</v>
      </c>
    </row>
    <row r="33" spans="2:6" ht="16.5" thickBot="1"/>
    <row r="34" spans="2:6" ht="16.5" thickBot="1">
      <c r="B34" s="75" t="s">
        <v>35</v>
      </c>
      <c r="C34" s="76"/>
      <c r="D34" s="76"/>
      <c r="E34" s="76"/>
      <c r="F34" s="77"/>
    </row>
    <row r="35" spans="2:6" ht="16.5" thickBot="1">
      <c r="B35" s="73" t="s">
        <v>10</v>
      </c>
      <c r="C35" s="74"/>
      <c r="D35" s="41" t="s">
        <v>24</v>
      </c>
      <c r="E35" s="41" t="s">
        <v>25</v>
      </c>
      <c r="F35" s="42" t="s">
        <v>26</v>
      </c>
    </row>
    <row r="36" spans="2:6">
      <c r="B36" s="44" t="s">
        <v>36</v>
      </c>
      <c r="C36" s="45"/>
      <c r="D36" s="56">
        <v>2</v>
      </c>
      <c r="E36" s="57">
        <v>3</v>
      </c>
      <c r="F36" s="58">
        <v>1</v>
      </c>
    </row>
    <row r="37" spans="2:6">
      <c r="B37" s="46" t="s">
        <v>37</v>
      </c>
      <c r="C37" s="47"/>
      <c r="D37" s="59">
        <v>3</v>
      </c>
      <c r="E37" s="60">
        <v>2</v>
      </c>
      <c r="F37" s="61">
        <v>1</v>
      </c>
    </row>
    <row r="38" spans="2:6" ht="16.5" thickBot="1">
      <c r="B38" s="48" t="s">
        <v>38</v>
      </c>
      <c r="C38" s="49"/>
      <c r="D38" s="62">
        <v>1</v>
      </c>
      <c r="E38" s="63">
        <v>2</v>
      </c>
      <c r="F38" s="64">
        <v>3</v>
      </c>
    </row>
    <row r="39" spans="2:6" ht="16.5" thickBot="1">
      <c r="B39" s="75" t="s">
        <v>40</v>
      </c>
      <c r="C39" s="76"/>
      <c r="D39" s="76"/>
      <c r="E39" s="76"/>
      <c r="F39" s="77"/>
    </row>
    <row r="40" spans="2:6">
      <c r="B40" s="65" t="s">
        <v>39</v>
      </c>
      <c r="C40" s="66"/>
      <c r="D40" s="67"/>
      <c r="E40" s="67"/>
      <c r="F40" s="68"/>
    </row>
    <row r="41" spans="2:6" ht="19.5" thickBot="1">
      <c r="B41" s="69" t="s">
        <v>41</v>
      </c>
      <c r="C41" s="70"/>
      <c r="D41" s="70"/>
      <c r="E41" s="71"/>
      <c r="F41" s="72"/>
    </row>
    <row r="42" spans="2:6">
      <c r="C42" s="43"/>
      <c r="D42" s="43"/>
      <c r="E42" s="43"/>
      <c r="F42" s="43"/>
    </row>
  </sheetData>
  <sheetProtection sheet="1" objects="1" scenarios="1"/>
  <mergeCells count="9">
    <mergeCell ref="B35:C35"/>
    <mergeCell ref="B34:F34"/>
    <mergeCell ref="B39:F39"/>
    <mergeCell ref="B19:D19"/>
    <mergeCell ref="B2:F2"/>
    <mergeCell ref="B18:D18"/>
    <mergeCell ref="E19:F19"/>
    <mergeCell ref="B22:C22"/>
    <mergeCell ref="B21:F21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Correction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technicien</cp:lastModifiedBy>
  <cp:lastPrinted>2012-04-18T14:30:50Z</cp:lastPrinted>
  <dcterms:created xsi:type="dcterms:W3CDTF">2002-03-22T08:07:24Z</dcterms:created>
  <dcterms:modified xsi:type="dcterms:W3CDTF">2015-06-16T17:41:20Z</dcterms:modified>
  <cp:category>IEL</cp:category>
</cp:coreProperties>
</file>