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 activeTab="4"/>
  </bookViews>
  <sheets>
    <sheet name="Livre de pai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G12" i="6"/>
  <c r="F12"/>
  <c r="E12"/>
  <c r="D12"/>
  <c r="C9"/>
  <c r="C10"/>
  <c r="G15" i="5"/>
  <c r="D16"/>
  <c r="D8"/>
  <c r="F9"/>
  <c r="G23"/>
  <c r="G16"/>
  <c r="C38"/>
  <c r="G22" l="1"/>
  <c r="G24" s="1"/>
  <c r="E8" i="6" s="1"/>
  <c r="F8" i="5"/>
  <c r="D13" i="3"/>
  <c r="D12"/>
  <c r="D11"/>
  <c r="D10"/>
  <c r="D9"/>
  <c r="D8"/>
  <c r="G8" i="5"/>
  <c r="C31"/>
  <c r="C8"/>
  <c r="D40"/>
  <c r="E11" i="6" s="1"/>
  <c r="C40" i="5"/>
  <c r="D11" i="6" s="1"/>
  <c r="F11" s="1"/>
  <c r="C5" i="7" s="1"/>
  <c r="C37" i="5"/>
  <c r="F24"/>
  <c r="D8" i="6" s="1"/>
  <c r="F21" i="5"/>
  <c r="G6" i="1"/>
  <c r="E6"/>
  <c r="G5"/>
  <c r="G7" s="1"/>
  <c r="E5"/>
  <c r="E7" s="1"/>
  <c r="C8" s="1"/>
  <c r="C10" s="1"/>
  <c r="C11" i="6"/>
  <c r="C5"/>
  <c r="D16" i="3"/>
  <c r="D15"/>
  <c r="D14"/>
  <c r="D15" i="5"/>
  <c r="F14"/>
  <c r="D7" i="3"/>
  <c r="D6"/>
  <c r="E6" i="7"/>
  <c r="G11" i="6" l="1"/>
  <c r="C41" i="5"/>
  <c r="D41"/>
  <c r="F25"/>
  <c r="G25"/>
  <c r="F17"/>
  <c r="D7" i="6" s="1"/>
  <c r="G17" i="5"/>
  <c r="E7" i="6" s="1"/>
  <c r="C8"/>
  <c r="D33" i="5"/>
  <c r="E10" i="6" s="1"/>
  <c r="C6"/>
  <c r="C30" i="5"/>
  <c r="C10"/>
  <c r="D6" i="6" s="1"/>
  <c r="C7" i="5"/>
  <c r="D10" s="1"/>
  <c r="E6" i="6" s="1"/>
  <c r="G6" s="1"/>
  <c r="C17" i="5"/>
  <c r="D9" i="6" s="1"/>
  <c r="D17" i="5"/>
  <c r="E9" i="6" s="1"/>
  <c r="C14" i="5"/>
  <c r="G17" i="3"/>
  <c r="F17"/>
  <c r="F6" i="6" l="1"/>
  <c r="C12" i="7" s="1"/>
  <c r="G7" i="6"/>
  <c r="E13" i="7" s="1"/>
  <c r="F7" i="6"/>
  <c r="G9"/>
  <c r="E15" i="7" s="1"/>
  <c r="F9" i="6"/>
  <c r="C18" i="5"/>
  <c r="C11"/>
  <c r="F18"/>
  <c r="G18"/>
  <c r="D11"/>
  <c r="D18"/>
  <c r="C33" l="1"/>
  <c r="F7"/>
  <c r="D4" i="3"/>
  <c r="D5"/>
  <c r="C34" i="5" l="1"/>
  <c r="D10" i="6"/>
  <c r="D34" i="5"/>
  <c r="C7" i="6"/>
  <c r="G10" i="5"/>
  <c r="E5" i="6" s="1"/>
  <c r="F10" i="5"/>
  <c r="D5" i="6" s="1"/>
  <c r="F18" i="3"/>
  <c r="G5" i="6" l="1"/>
  <c r="E12" i="7" s="1"/>
  <c r="F5" i="6"/>
  <c r="F10"/>
  <c r="C4" i="7" s="1"/>
  <c r="C6" s="1"/>
  <c r="C7" s="1"/>
  <c r="G10" i="6"/>
  <c r="F8"/>
  <c r="C16" i="7" s="1"/>
  <c r="G8" i="6"/>
  <c r="E14" i="7" s="1"/>
  <c r="E16" s="1"/>
  <c r="F11" i="5"/>
  <c r="G11"/>
  <c r="C17" i="7" l="1"/>
</calcChain>
</file>

<file path=xl/sharedStrings.xml><?xml version="1.0" encoding="utf-8"?>
<sst xmlns="http://schemas.openxmlformats.org/spreadsheetml/2006/main" count="1044" uniqueCount="860">
  <si>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</si>
  <si>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</si>
  <si>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</si>
  <si>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</si>
  <si>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</si>
  <si>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</si>
  <si>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</si>
  <si>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</si>
  <si>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</si>
  <si>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</si>
  <si>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</si>
  <si>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</si>
  <si>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</si>
  <si>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</si>
  <si>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</si>
  <si>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</si>
  <si>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</si>
  <si>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</si>
  <si>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</si>
  <si>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</si>
  <si>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</si>
  <si>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</si>
  <si>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</si>
  <si>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</si>
  <si>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</si>
  <si>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</si>
  <si>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</si>
  <si>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</si>
  <si>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</si>
  <si>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</si>
  <si>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</si>
  <si>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</si>
  <si>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</si>
  <si>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</si>
  <si>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</si>
  <si>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</si>
  <si>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</si>
  <si>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</si>
  <si>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</si>
  <si>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</si>
  <si>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</si>
  <si>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</si>
  <si>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</si>
  <si>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</si>
  <si>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</si>
  <si>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</si>
  <si>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</si>
  <si>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</si>
  <si>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</si>
  <si>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</si>
  <si>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</si>
  <si>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</si>
  <si>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</si>
  <si>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</si>
  <si>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</si>
  <si>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</si>
  <si>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</si>
  <si>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</si>
  <si>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</si>
  <si>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</si>
  <si>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</si>
  <si>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</si>
  <si>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</si>
  <si>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</si>
  <si>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</si>
  <si>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</si>
  <si>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</si>
  <si>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</si>
  <si>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</si>
  <si>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</si>
  <si>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</si>
  <si>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</si>
  <si>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</si>
  <si>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</si>
  <si>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</si>
  <si>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</si>
  <si>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</si>
  <si>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</si>
  <si>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</si>
  <si>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</si>
  <si>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</si>
  <si>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</si>
  <si>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</si>
  <si>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</si>
  <si>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</si>
  <si>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</si>
  <si>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</si>
  <si>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</si>
  <si>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</si>
  <si>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</si>
  <si>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</si>
  <si>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</si>
  <si>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</si>
  <si>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</si>
  <si>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</si>
  <si>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</si>
  <si>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</si>
  <si>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</si>
  <si>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</si>
  <si>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</si>
  <si>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</si>
  <si>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</si>
  <si>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</si>
  <si>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</si>
  <si>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</si>
  <si>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</si>
  <si>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</si>
  <si>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</si>
  <si>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</si>
  <si>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</si>
  <si>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</si>
  <si>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</si>
  <si>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</si>
  <si>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</si>
  <si>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</si>
  <si>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</si>
  <si>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</si>
  <si>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</si>
  <si>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</si>
  <si>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</si>
  <si>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</si>
  <si>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</si>
  <si>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</si>
  <si>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</si>
  <si>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</si>
  <si>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</si>
  <si>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</si>
  <si>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</si>
  <si>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</si>
  <si>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</si>
  <si>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</si>
  <si>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</si>
  <si>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</si>
  <si>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</si>
  <si>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</si>
  <si>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</si>
  <si>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</si>
  <si>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</si>
  <si>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</si>
  <si>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</si>
  <si>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</si>
  <si>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</si>
  <si>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</si>
  <si>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</si>
  <si>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</si>
  <si>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</si>
  <si>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</si>
  <si>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</si>
  <si>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</si>
  <si>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</si>
  <si>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</si>
  <si>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</si>
  <si>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</si>
  <si>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</si>
  <si>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</si>
  <si>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</si>
  <si>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</si>
  <si>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</si>
  <si>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</si>
  <si>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</si>
  <si>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</si>
  <si>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</si>
  <si>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</si>
  <si>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</si>
  <si>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</si>
  <si>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</si>
  <si>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</si>
  <si>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</si>
  <si>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</si>
  <si>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</si>
  <si>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</si>
  <si>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</si>
  <si>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</si>
  <si>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</si>
  <si>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</si>
  <si>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</si>
  <si>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</si>
  <si>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</si>
  <si>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</si>
  <si>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</si>
  <si>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</si>
  <si>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</si>
  <si>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</si>
  <si>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</si>
  <si>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</si>
  <si>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</si>
  <si>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</si>
  <si>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</si>
  <si>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</si>
  <si>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</si>
  <si>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</si>
  <si>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</si>
  <si>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</si>
  <si>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</si>
  <si>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</si>
  <si>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</si>
  <si>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</si>
  <si>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</si>
  <si>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</si>
  <si>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</si>
  <si>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</si>
  <si>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</si>
  <si>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</si>
  <si>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</si>
  <si>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</si>
  <si>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</si>
  <si>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</si>
  <si>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</si>
  <si>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</si>
  <si>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</si>
  <si>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</si>
  <si>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</si>
  <si>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</si>
  <si>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</si>
  <si>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</si>
  <si>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</si>
  <si>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</si>
  <si>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</si>
  <si>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</si>
  <si>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</si>
  <si>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</si>
  <si>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</si>
  <si>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</si>
  <si>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</si>
  <si>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</si>
  <si>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</si>
  <si>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</si>
  <si>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</si>
  <si>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</si>
  <si>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</si>
  <si>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</si>
  <si>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</si>
  <si>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</si>
  <si>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</si>
  <si>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</si>
  <si>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</si>
  <si>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</si>
  <si>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</si>
  <si>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</si>
  <si>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</si>
  <si>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</si>
  <si>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</si>
  <si>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</si>
  <si>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</si>
  <si>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</si>
  <si>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</si>
  <si>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</si>
  <si>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</si>
  <si>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</si>
  <si>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</si>
  <si>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</si>
  <si>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</si>
  <si>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</si>
  <si>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</si>
  <si>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</si>
  <si>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</si>
  <si>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</si>
  <si>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</si>
  <si>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</si>
  <si>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</si>
  <si>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</si>
  <si>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</si>
  <si>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</si>
  <si>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</si>
  <si>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</si>
  <si>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</si>
  <si>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</si>
  <si>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</si>
  <si>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</si>
  <si>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</si>
  <si>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</si>
  <si>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</si>
  <si>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</si>
  <si>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</si>
  <si>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</si>
  <si>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</si>
  <si>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</si>
  <si>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</si>
  <si>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</si>
  <si>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</si>
  <si>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</si>
  <si>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</si>
  <si>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</si>
  <si>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</si>
  <si>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</si>
  <si>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</si>
  <si>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</si>
  <si>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</si>
  <si>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</si>
  <si>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</si>
  <si>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</si>
  <si>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</si>
  <si>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</si>
  <si>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</si>
  <si>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</si>
  <si>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</si>
  <si>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</si>
  <si>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</si>
  <si>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</si>
  <si>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</si>
  <si>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</si>
  <si>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</si>
  <si>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</si>
  <si>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</si>
  <si>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</si>
  <si>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</si>
  <si>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</si>
  <si>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</si>
  <si>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</si>
  <si>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</si>
  <si>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</si>
  <si>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</si>
  <si>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</si>
  <si>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</si>
  <si>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</si>
  <si>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</si>
  <si>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</si>
  <si>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</si>
  <si>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</si>
  <si>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</si>
  <si>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</si>
  <si>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</si>
  <si>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</si>
  <si>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</si>
  <si>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</si>
  <si>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</si>
  <si>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</si>
  <si>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</si>
  <si>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</si>
  <si>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</si>
  <si>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</si>
  <si>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</si>
  <si>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</si>
  <si>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</si>
  <si>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</si>
  <si>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</si>
  <si>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</si>
  <si>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</si>
  <si>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</si>
  <si>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</si>
  <si>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</si>
  <si>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</si>
  <si>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</si>
  <si>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</si>
  <si>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</si>
  <si>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</si>
  <si>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</si>
  <si>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</si>
  <si>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</si>
  <si>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</si>
  <si>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</si>
  <si>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</si>
  <si>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</si>
  <si>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</si>
  <si>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</si>
  <si>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</si>
  <si>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</si>
  <si>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</si>
  <si>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</si>
  <si>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</si>
  <si>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</si>
  <si>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</si>
  <si>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</si>
  <si>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</si>
  <si>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</si>
  <si>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</si>
  <si>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</si>
  <si>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</si>
  <si>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</si>
  <si>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</si>
  <si>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</si>
  <si>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</si>
  <si>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</si>
  <si>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</si>
  <si>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</si>
  <si>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</si>
  <si>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</si>
  <si>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</si>
  <si>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</si>
  <si>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</si>
  <si>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</si>
  <si>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</si>
  <si>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</si>
  <si>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</si>
  <si>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</si>
  <si>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</si>
  <si>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</si>
  <si>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</si>
  <si>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</si>
  <si>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</si>
  <si>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</si>
  <si>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</si>
  <si>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</si>
  <si>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</si>
  <si>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</si>
  <si>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</si>
  <si>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</si>
  <si>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</si>
  <si>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</si>
  <si>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</si>
  <si>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</si>
  <si>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</si>
  <si>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</si>
  <si>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</si>
  <si>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</si>
  <si>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</si>
  <si>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</si>
  <si>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</si>
  <si>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</si>
  <si>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</si>
  <si>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</si>
  <si>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</si>
  <si>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</si>
  <si>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</si>
  <si>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</si>
  <si>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</si>
  <si>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</si>
  <si>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</si>
  <si>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</si>
  <si>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</si>
  <si>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</si>
  <si>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</si>
  <si>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</si>
  <si>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</si>
  <si>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</si>
  <si>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</si>
  <si>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</si>
  <si>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</si>
  <si>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</si>
  <si>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</si>
  <si>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</si>
  <si>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</si>
  <si>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</si>
  <si>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</si>
  <si>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</si>
  <si>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</si>
  <si>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</si>
  <si>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</si>
  <si>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</si>
  <si>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</si>
  <si>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</si>
  <si>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</si>
  <si>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</si>
  <si>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</si>
  <si>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</si>
  <si>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</si>
  <si>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</si>
  <si>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</si>
  <si>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</si>
  <si>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</si>
  <si>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</si>
  <si>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</si>
  <si>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</si>
  <si>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</si>
  <si>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</si>
  <si>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</si>
  <si>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</si>
  <si>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</si>
  <si>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</si>
  <si>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</si>
  <si>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</si>
  <si>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</si>
  <si>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</si>
  <si>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</si>
  <si>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</si>
  <si>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</si>
  <si>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</si>
  <si>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</si>
  <si>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</si>
  <si>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</si>
  <si>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</si>
  <si>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</si>
  <si>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</si>
  <si>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</si>
  <si>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</si>
  <si>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</si>
  <si>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</si>
  <si>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</si>
  <si>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</si>
  <si>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</si>
  <si>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</si>
  <si>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</si>
  <si>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</si>
  <si>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</si>
  <si>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</si>
  <si>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</si>
  <si>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</si>
  <si>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</si>
  <si>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</si>
  <si>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</si>
  <si>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</si>
  <si>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</si>
  <si>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</si>
  <si>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</si>
  <si>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</si>
  <si>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</si>
  <si>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</si>
  <si>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</si>
  <si>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</si>
  <si>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</si>
  <si>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</si>
  <si>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</si>
  <si>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</si>
  <si>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</si>
  <si>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</si>
  <si>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</si>
  <si>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</si>
  <si>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</si>
  <si>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</si>
  <si>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</si>
  <si>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</si>
  <si>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</si>
  <si>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</si>
  <si>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</si>
  <si>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</si>
  <si>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</si>
  <si>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</si>
  <si>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</si>
  <si>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</si>
  <si>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</si>
  <si>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</si>
  <si>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</si>
  <si>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</si>
  <si>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</si>
  <si>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</si>
  <si>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</si>
  <si>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</si>
  <si>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</si>
  <si>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</si>
  <si>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</si>
  <si>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</si>
  <si>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</si>
  <si>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</si>
  <si>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</si>
  <si>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</si>
  <si>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</si>
  <si>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</si>
  <si>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</si>
  <si>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</si>
  <si>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</si>
  <si>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</si>
  <si>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</si>
  <si>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</si>
  <si>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</si>
  <si>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</si>
  <si>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</si>
  <si>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</si>
  <si>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</si>
  <si>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</si>
  <si>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</si>
  <si>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</si>
  <si>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</si>
  <si>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</si>
  <si>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</si>
  <si>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</si>
  <si>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</si>
  <si>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</si>
  <si>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</si>
  <si>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</si>
  <si>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</si>
  <si>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</si>
  <si>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</si>
  <si>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</si>
  <si>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</si>
  <si>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</si>
  <si>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</si>
  <si>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</si>
  <si>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</si>
  <si>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</si>
  <si>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</si>
  <si>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</si>
  <si>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</si>
  <si>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</si>
  <si>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</si>
  <si>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</si>
  <si>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</si>
  <si>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</si>
  <si>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</si>
  <si>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</si>
  <si>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</si>
  <si>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</si>
  <si>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</si>
  <si>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</si>
  <si>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</si>
  <si>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</si>
  <si>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</si>
  <si>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</si>
  <si>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</si>
  <si>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</si>
  <si>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</si>
  <si>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</si>
  <si>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</si>
  <si>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</si>
  <si>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</si>
  <si>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</si>
  <si>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</si>
  <si>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</si>
  <si>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</si>
  <si>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</si>
  <si>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</si>
  <si>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</si>
  <si>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</si>
  <si>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</si>
  <si>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</si>
  <si>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</si>
  <si>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</si>
  <si>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</si>
  <si>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</si>
  <si>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</si>
  <si>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</si>
  <si>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</si>
  <si>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</si>
  <si>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</si>
  <si>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</si>
  <si>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</si>
  <si>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</si>
  <si>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</si>
  <si>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</si>
  <si>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</si>
  <si>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</si>
  <si>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</si>
  <si>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</si>
  <si>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</si>
  <si>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</si>
  <si>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</si>
  <si>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</si>
  <si>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</si>
  <si>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</si>
  <si>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</si>
  <si>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</si>
  <si>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</si>
  <si>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</si>
  <si>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</si>
  <si>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</si>
  <si>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</si>
  <si>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</si>
  <si>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</si>
  <si>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</si>
  <si>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</si>
  <si>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</si>
  <si>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</si>
  <si>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</si>
  <si>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</si>
  <si>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</si>
  <si>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</si>
  <si>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</si>
  <si>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</si>
  <si>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</si>
  <si>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</si>
  <si>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</si>
  <si>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</si>
  <si>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</si>
  <si>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</si>
  <si>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</si>
  <si>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</si>
  <si>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</si>
  <si>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</si>
  <si>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</si>
  <si>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</si>
  <si>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</si>
  <si>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</si>
  <si>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</si>
  <si>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</si>
  <si>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</si>
  <si>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</si>
  <si>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</si>
  <si>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</si>
  <si>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</si>
  <si>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</si>
  <si>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</si>
  <si>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</si>
  <si>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</si>
  <si>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</si>
  <si>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</si>
  <si>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</si>
  <si>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</si>
  <si>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</si>
  <si>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</si>
  <si>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</si>
  <si>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</si>
  <si>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</si>
  <si>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</si>
  <si>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</si>
  <si>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</si>
  <si>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</si>
  <si>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</si>
  <si>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</si>
  <si>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</si>
  <si>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</si>
  <si>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</si>
  <si>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</si>
  <si>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</si>
  <si>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</si>
  <si>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</si>
  <si>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</si>
  <si>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</si>
  <si>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</si>
  <si>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</si>
  <si>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</si>
  <si>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</si>
  <si>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</si>
  <si>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</si>
  <si>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</si>
  <si>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</si>
  <si>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</si>
  <si>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</si>
  <si>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</si>
  <si>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</si>
  <si>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</si>
  <si>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</si>
  <si>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</si>
  <si>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</si>
  <si>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</si>
  <si>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</si>
  <si>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</si>
  <si>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</si>
  <si>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</si>
  <si>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</si>
  <si>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</si>
  <si>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</si>
  <si>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</si>
  <si>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</si>
  <si>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</si>
  <si>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</si>
  <si>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</si>
  <si>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</si>
  <si>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</si>
  <si>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</si>
  <si>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</si>
  <si>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</si>
  <si>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</si>
  <si>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</si>
  <si>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</si>
  <si>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</si>
  <si>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</si>
  <si>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</si>
  <si>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</si>
  <si>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</si>
  <si>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</si>
  <si>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</si>
  <si>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</si>
  <si>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</si>
  <si>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</si>
  <si>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</si>
  <si>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</si>
  <si>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</si>
  <si>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</si>
  <si>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</si>
  <si>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</si>
  <si>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</si>
  <si>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</si>
  <si>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</si>
  <si>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</si>
  <si>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</si>
  <si>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</si>
  <si>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</si>
  <si>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</si>
  <si>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</si>
  <si>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</si>
  <si>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</si>
  <si>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</si>
  <si>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</si>
  <si>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</si>
  <si>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</si>
  <si>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</si>
  <si>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</si>
  <si>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</si>
  <si>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</si>
  <si>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</si>
  <si>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</si>
  <si>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</si>
  <si>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</si>
  <si>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</si>
  <si>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</si>
  <si>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</si>
  <si>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</si>
  <si>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</si>
  <si>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</si>
  <si>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</si>
  <si>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</si>
  <si>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</si>
  <si>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</si>
  <si>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</si>
  <si>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</si>
  <si>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</si>
  <si>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</si>
  <si>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</si>
  <si>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</si>
  <si>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</si>
  <si>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</si>
  <si>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</si>
  <si>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</si>
  <si>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</si>
  <si>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</si>
  <si>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</si>
  <si>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</si>
  <si>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</si>
  <si>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</si>
  <si>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</si>
  <si>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</si>
  <si>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</si>
  <si>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</si>
  <si>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</si>
  <si>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</si>
  <si>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</si>
  <si>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</si>
  <si>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</si>
  <si>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</si>
  <si>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</si>
  <si>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</si>
  <si>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</si>
  <si>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</si>
  <si>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</si>
  <si>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</si>
  <si>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</si>
  <si>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</si>
  <si>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</si>
  <si>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</si>
  <si>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</si>
  <si>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</si>
  <si>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</si>
  <si>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</si>
  <si>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</si>
  <si>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</si>
  <si>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</si>
  <si>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</si>
  <si>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</si>
  <si>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</si>
  <si>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</si>
  <si>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</si>
  <si>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</si>
  <si>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</si>
  <si>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</si>
  <si>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</si>
  <si>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</si>
  <si>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</si>
  <si>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</si>
  <si>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Cotisations</t>
  </si>
  <si>
    <t>Salaires BRUTS</t>
  </si>
  <si>
    <t>Salariales</t>
  </si>
  <si>
    <t>Patronales</t>
  </si>
  <si>
    <t>Tx</t>
  </si>
  <si>
    <t>Montants</t>
  </si>
  <si>
    <t>Salaires NETS</t>
  </si>
  <si>
    <t>Total des cotisations</t>
  </si>
  <si>
    <t xml:space="preserve">EXTRAIT du LIVRE de PAIE du mois d'OCTOBRE </t>
  </si>
  <si>
    <t>Salaires Nets à payer</t>
  </si>
  <si>
    <t>Bordereau de saisie - SARL "ISOARD"</t>
  </si>
  <si>
    <t>Comptes de charges</t>
  </si>
  <si>
    <t>Comptes de produits</t>
  </si>
  <si>
    <t>Acomptes sur salaires Octobre</t>
  </si>
  <si>
    <t>Salaires bruts
Octobre</t>
  </si>
  <si>
    <t>Cotisations salariales
Octobre</t>
  </si>
  <si>
    <t>Cotisations patronales
Octobre</t>
  </si>
  <si>
    <t>Paiement des salaires
Octobre</t>
  </si>
  <si>
    <t>Rémunérations brutes</t>
  </si>
  <si>
    <t>Sécurité sociale et prévoyance</t>
  </si>
  <si>
    <t>Personnel, avances et acomptes</t>
  </si>
  <si>
    <t>Personnel, rémunérations dues</t>
  </si>
  <si>
    <t>Acomptes versés le 15/10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</si>
</sst>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7" fillId="0" borderId="0" xfId="0" applyFont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9" fillId="0" borderId="0" xfId="0" applyFont="1" applyFill="1" applyAlignment="1">
      <alignment horizontal="left" indent="1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6" fillId="12" borderId="0" xfId="0" applyFont="1" applyFill="1" applyAlignment="1">
      <alignment horizontal="left"/>
    </xf>
    <xf numFmtId="0" fontId="6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0" fontId="7" fillId="14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8" borderId="12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3" borderId="21" xfId="0" applyFont="1" applyFill="1" applyBorder="1" applyAlignment="1">
      <alignment horizontal="center"/>
    </xf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3" borderId="1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7" fillId="18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" fontId="11" fillId="0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0" fontId="7" fillId="0" borderId="10" xfId="5" applyFont="1" applyBorder="1" applyAlignment="1">
      <alignment horizontal="center"/>
    </xf>
    <xf numFmtId="4" fontId="7" fillId="0" borderId="42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2" borderId="23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Fill="1" applyBorder="1" applyAlignment="1" applyProtection="1">
      <alignment vertical="center" wrapText="1"/>
    </xf>
    <xf numFmtId="4" fontId="11" fillId="0" borderId="33" xfId="0" applyNumberFormat="1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horizontal="center" vertical="center"/>
    </xf>
    <xf numFmtId="4" fontId="11" fillId="0" borderId="1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6" fillId="0" borderId="17" xfId="0" applyFont="1" applyBorder="1"/>
    <xf numFmtId="0" fontId="7" fillId="0" borderId="7" xfId="5" applyFont="1" applyBorder="1" applyAlignment="1" applyProtection="1">
      <alignment horizontal="left" vertical="center" wrapText="1"/>
    </xf>
    <xf numFmtId="165" fontId="7" fillId="0" borderId="9" xfId="6" applyNumberFormat="1" applyFont="1" applyBorder="1" applyAlignment="1" applyProtection="1">
      <alignment vertical="center"/>
    </xf>
    <xf numFmtId="164" fontId="7" fillId="0" borderId="6" xfId="6" applyNumberFormat="1" applyFont="1" applyBorder="1" applyAlignment="1" applyProtection="1">
      <alignment horizontal="right" vertical="center"/>
    </xf>
    <xf numFmtId="0" fontId="7" fillId="0" borderId="13" xfId="5" applyFont="1" applyBorder="1" applyAlignment="1" applyProtection="1">
      <alignment horizontal="left" vertical="center" wrapText="1"/>
    </xf>
    <xf numFmtId="0" fontId="7" fillId="3" borderId="11" xfId="5" applyFont="1" applyFill="1" applyBorder="1" applyAlignment="1" applyProtection="1">
      <alignment horizontal="left" vertical="center" wrapText="1"/>
    </xf>
    <xf numFmtId="43" fontId="7" fillId="3" borderId="0" xfId="6" applyFont="1" applyFill="1" applyBorder="1" applyAlignment="1" applyProtection="1">
      <alignment vertical="center"/>
    </xf>
    <xf numFmtId="164" fontId="7" fillId="0" borderId="33" xfId="6" applyNumberFormat="1" applyFont="1" applyBorder="1" applyAlignment="1" applyProtection="1">
      <alignment horizontal="right" vertical="center"/>
    </xf>
    <xf numFmtId="43" fontId="7" fillId="3" borderId="13" xfId="6" applyFont="1" applyFill="1" applyBorder="1" applyAlignment="1" applyProtection="1">
      <alignment horizontal="center" vertical="center"/>
    </xf>
    <xf numFmtId="164" fontId="7" fillId="0" borderId="31" xfId="6" applyNumberFormat="1" applyFont="1" applyBorder="1" applyAlignment="1" applyProtection="1">
      <alignment horizontal="right" vertical="center"/>
    </xf>
    <xf numFmtId="43" fontId="7" fillId="18" borderId="2" xfId="6" applyFont="1" applyFill="1" applyBorder="1" applyAlignment="1" applyProtection="1">
      <alignment horizontal="center" vertical="center"/>
    </xf>
    <xf numFmtId="43" fontId="7" fillId="18" borderId="11" xfId="6" applyFont="1" applyFill="1" applyBorder="1" applyAlignment="1" applyProtection="1">
      <alignment horizontal="center" vertical="center"/>
    </xf>
    <xf numFmtId="43" fontId="7" fillId="18" borderId="6" xfId="6" applyFont="1" applyFill="1" applyBorder="1" applyAlignment="1" applyProtection="1">
      <alignment horizontal="center" vertical="center"/>
    </xf>
    <xf numFmtId="4" fontId="11" fillId="0" borderId="7" xfId="0" applyNumberFormat="1" applyFont="1" applyFill="1" applyBorder="1" applyAlignment="1" applyProtection="1">
      <alignment vertical="center" wrapText="1"/>
    </xf>
    <xf numFmtId="4" fontId="11" fillId="0" borderId="13" xfId="0" applyNumberFormat="1" applyFont="1" applyFill="1" applyBorder="1" applyAlignment="1" applyProtection="1">
      <alignment vertical="center" wrapText="1"/>
    </xf>
    <xf numFmtId="4" fontId="7" fillId="0" borderId="47" xfId="0" applyNumberFormat="1" applyFont="1" applyBorder="1" applyAlignment="1" applyProtection="1">
      <alignment vertical="center"/>
    </xf>
    <xf numFmtId="4" fontId="6" fillId="0" borderId="36" xfId="5" applyNumberFormat="1" applyFont="1" applyBorder="1"/>
    <xf numFmtId="4" fontId="6" fillId="0" borderId="45" xfId="5" applyNumberFormat="1" applyFont="1" applyBorder="1"/>
    <xf numFmtId="0" fontId="7" fillId="0" borderId="13" xfId="5" applyFont="1" applyBorder="1" applyAlignment="1">
      <alignment horizontal="center"/>
    </xf>
    <xf numFmtId="4" fontId="7" fillId="0" borderId="30" xfId="5" applyNumberFormat="1" applyFont="1" applyBorder="1"/>
    <xf numFmtId="10" fontId="7" fillId="0" borderId="7" xfId="6" applyNumberFormat="1" applyFont="1" applyFill="1" applyBorder="1" applyAlignment="1" applyProtection="1">
      <alignment vertical="center"/>
    </xf>
    <xf numFmtId="10" fontId="7" fillId="0" borderId="8" xfId="6" applyNumberFormat="1" applyFont="1" applyFill="1" applyBorder="1" applyAlignment="1" applyProtection="1">
      <alignment horizontal="right" vertical="center"/>
    </xf>
    <xf numFmtId="10" fontId="7" fillId="0" borderId="10" xfId="6" applyNumberFormat="1" applyFont="1" applyFill="1" applyBorder="1" applyAlignment="1" applyProtection="1">
      <alignment vertical="center"/>
    </xf>
    <xf numFmtId="10" fontId="7" fillId="0" borderId="1" xfId="6" applyNumberFormat="1" applyFont="1" applyFill="1" applyBorder="1" applyAlignment="1" applyProtection="1">
      <alignment horizontal="right" vertical="center"/>
    </xf>
    <xf numFmtId="164" fontId="7" fillId="0" borderId="32" xfId="6" applyNumberFormat="1" applyFont="1" applyFill="1" applyBorder="1" applyAlignment="1" applyProtection="1">
      <alignment horizontal="right" vertical="center"/>
    </xf>
    <xf numFmtId="14" fontId="6" fillId="0" borderId="44" xfId="0" applyNumberFormat="1" applyFont="1" applyFill="1" applyBorder="1" applyAlignment="1" applyProtection="1">
      <alignment horizontal="center" vertical="top"/>
      <protection locked="0"/>
    </xf>
    <xf numFmtId="0" fontId="6" fillId="0" borderId="28" xfId="0" applyFont="1" applyFill="1" applyBorder="1" applyAlignment="1" applyProtection="1">
      <alignment horizontal="center" vertical="top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6" fillId="0" borderId="43" xfId="0" applyFont="1" applyFill="1" applyBorder="1" applyAlignment="1" applyProtection="1">
      <alignment horizontal="center"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vertical="center"/>
      <protection locked="0"/>
    </xf>
    <xf numFmtId="4" fontId="6" fillId="0" borderId="46" xfId="0" applyNumberFormat="1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18" borderId="11" xfId="5" applyFont="1" applyFill="1" applyBorder="1" applyAlignment="1" applyProtection="1">
      <alignment horizontal="center" vertical="center"/>
    </xf>
    <xf numFmtId="0" fontId="7" fillId="18" borderId="2" xfId="5" applyFont="1" applyFill="1" applyBorder="1" applyAlignment="1" applyProtection="1">
      <alignment horizontal="center" vertical="center"/>
    </xf>
    <xf numFmtId="0" fontId="7" fillId="18" borderId="3" xfId="5" applyFont="1" applyFill="1" applyBorder="1" applyAlignment="1" applyProtection="1">
      <alignment horizontal="center" vertical="center"/>
    </xf>
    <xf numFmtId="43" fontId="7" fillId="18" borderId="7" xfId="6" applyFont="1" applyFill="1" applyBorder="1" applyAlignment="1" applyProtection="1">
      <alignment horizontal="center" vertical="center"/>
    </xf>
    <xf numFmtId="43" fontId="7" fillId="18" borderId="9" xfId="6" applyFont="1" applyFill="1" applyBorder="1" applyAlignment="1" applyProtection="1">
      <alignment horizontal="center" vertical="center"/>
    </xf>
    <xf numFmtId="43" fontId="7" fillId="18" borderId="0" xfId="6" applyFont="1" applyFill="1" applyBorder="1" applyAlignment="1" applyProtection="1">
      <alignment horizontal="center" vertical="center"/>
    </xf>
    <xf numFmtId="43" fontId="7" fillId="18" borderId="18" xfId="6" applyFont="1" applyFill="1" applyBorder="1" applyAlignment="1" applyProtection="1">
      <alignment horizontal="center" vertical="center"/>
    </xf>
    <xf numFmtId="43" fontId="7" fillId="3" borderId="13" xfId="6" applyFont="1" applyFill="1" applyBorder="1" applyAlignment="1" applyProtection="1">
      <alignment horizontal="center" vertical="center"/>
    </xf>
    <xf numFmtId="43" fontId="7" fillId="3" borderId="0" xfId="6" applyFont="1" applyFill="1" applyBorder="1" applyAlignment="1" applyProtection="1">
      <alignment horizontal="center" vertical="center"/>
    </xf>
    <xf numFmtId="43" fontId="7" fillId="3" borderId="18" xfId="6" applyFont="1" applyFill="1" applyBorder="1" applyAlignment="1" applyProtection="1">
      <alignment horizontal="center" vertical="center"/>
    </xf>
    <xf numFmtId="43" fontId="7" fillId="3" borderId="10" xfId="6" applyFont="1" applyFill="1" applyBorder="1" applyAlignment="1" applyProtection="1">
      <alignment horizontal="center" vertical="center"/>
    </xf>
    <xf numFmtId="43" fontId="7" fillId="3" borderId="1" xfId="6" applyFont="1" applyFill="1" applyBorder="1" applyAlignment="1" applyProtection="1">
      <alignment horizontal="center" vertical="center"/>
    </xf>
    <xf numFmtId="43" fontId="7" fillId="3" borderId="15" xfId="6" applyFont="1" applyFill="1" applyBorder="1" applyAlignment="1" applyProtection="1">
      <alignment horizontal="center" vertical="center"/>
    </xf>
    <xf numFmtId="0" fontId="7" fillId="0" borderId="10" xfId="5" applyFont="1" applyBorder="1" applyAlignment="1" applyProtection="1">
      <alignment horizontal="left" vertical="center" wrapText="1"/>
    </xf>
    <xf numFmtId="0" fontId="7" fillId="0" borderId="15" xfId="5" applyFont="1" applyBorder="1" applyAlignment="1" applyProtection="1">
      <alignment horizontal="left" vertical="center" wrapText="1"/>
    </xf>
    <xf numFmtId="0" fontId="7" fillId="3" borderId="10" xfId="5" applyFont="1" applyFill="1" applyBorder="1" applyAlignment="1" applyProtection="1">
      <alignment horizontal="left" vertical="center" wrapText="1"/>
    </xf>
    <xf numFmtId="0" fontId="7" fillId="3" borderId="1" xfId="5" applyFont="1" applyFill="1" applyBorder="1" applyAlignment="1" applyProtection="1">
      <alignment horizontal="left" vertical="center" wrapText="1"/>
    </xf>
    <xf numFmtId="0" fontId="7" fillId="3" borderId="34" xfId="5" applyFont="1" applyFill="1" applyBorder="1" applyAlignment="1" applyProtection="1">
      <alignment horizontal="left" vertical="center" wrapText="1"/>
    </xf>
    <xf numFmtId="0" fontId="7" fillId="3" borderId="48" xfId="5" applyFont="1" applyFill="1" applyBorder="1" applyAlignment="1" applyProtection="1">
      <alignment horizontal="left" vertical="center" wrapText="1"/>
    </xf>
    <xf numFmtId="7" fontId="7" fillId="0" borderId="36" xfId="6" applyNumberFormat="1" applyFont="1" applyFill="1" applyBorder="1" applyAlignment="1" applyProtection="1">
      <alignment horizontal="center" vertical="center"/>
    </xf>
    <xf numFmtId="7" fontId="7" fillId="0" borderId="47" xfId="6" applyNumberFormat="1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18" borderId="11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8" borderId="7" xfId="5" applyFont="1" applyFill="1" applyBorder="1" applyAlignment="1">
      <alignment horizontal="center"/>
    </xf>
    <xf numFmtId="0" fontId="7" fillId="18" borderId="8" xfId="5" applyFont="1" applyFill="1" applyBorder="1" applyAlignment="1">
      <alignment horizontal="center"/>
    </xf>
    <xf numFmtId="0" fontId="7" fillId="18" borderId="9" xfId="5" applyFont="1" applyFill="1" applyBorder="1" applyAlignment="1">
      <alignment horizontal="center"/>
    </xf>
    <xf numFmtId="0" fontId="7" fillId="3" borderId="11" xfId="5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</cellXfs>
  <cellStyles count="7">
    <cellStyle name="Euro" xfId="4"/>
    <cellStyle name="Milliers" xfId="6" builtinId="3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0"/>
  <sheetViews>
    <sheetView showGridLines="0" workbookViewId="0">
      <selection activeCell="B2" sqref="B2:C2"/>
    </sheetView>
  </sheetViews>
  <sheetFormatPr baseColWidth="10" defaultRowHeight="15.75"/>
  <cols>
    <col min="1" max="1" width="3.7109375" style="98" customWidth="1"/>
    <col min="2" max="2" width="37.7109375" style="98" customWidth="1"/>
    <col min="3" max="7" width="13.7109375" style="98" customWidth="1"/>
    <col min="8" max="16384" width="11.42578125" style="98"/>
  </cols>
  <sheetData>
    <row r="1" spans="2:7" ht="16.5" thickBot="1"/>
    <row r="2" spans="2:7" ht="16.5" thickBot="1">
      <c r="B2" s="170" t="s">
        <v>845</v>
      </c>
      <c r="C2" s="171"/>
      <c r="D2" s="172" t="s">
        <v>837</v>
      </c>
      <c r="E2" s="173"/>
      <c r="F2" s="173"/>
      <c r="G2" s="174"/>
    </row>
    <row r="3" spans="2:7" ht="16.5" thickBot="1">
      <c r="B3" s="189" t="s">
        <v>838</v>
      </c>
      <c r="C3" s="191">
        <v>5000</v>
      </c>
      <c r="D3" s="175" t="s">
        <v>839</v>
      </c>
      <c r="E3" s="176"/>
      <c r="F3" s="177" t="s">
        <v>840</v>
      </c>
      <c r="G3" s="178"/>
    </row>
    <row r="4" spans="2:7" ht="16.5" thickBot="1">
      <c r="B4" s="190"/>
      <c r="C4" s="192"/>
      <c r="D4" s="146" t="s">
        <v>841</v>
      </c>
      <c r="E4" s="147" t="s">
        <v>842</v>
      </c>
      <c r="F4" s="145" t="s">
        <v>841</v>
      </c>
      <c r="G4" s="147" t="s">
        <v>842</v>
      </c>
    </row>
    <row r="5" spans="2:7">
      <c r="B5" s="136" t="s">
        <v>614</v>
      </c>
      <c r="C5" s="137"/>
      <c r="D5" s="155">
        <v>0.15</v>
      </c>
      <c r="E5" s="144">
        <f>C3*D5</f>
        <v>750</v>
      </c>
      <c r="F5" s="156">
        <v>0.2</v>
      </c>
      <c r="G5" s="144">
        <f>C3*F5</f>
        <v>1000</v>
      </c>
    </row>
    <row r="6" spans="2:7" ht="16.5" thickBot="1">
      <c r="B6" s="185" t="s">
        <v>618</v>
      </c>
      <c r="C6" s="186"/>
      <c r="D6" s="157">
        <v>7.0000000000000007E-2</v>
      </c>
      <c r="E6" s="142">
        <f>C3*D6</f>
        <v>350.00000000000006</v>
      </c>
      <c r="F6" s="158">
        <v>0.05</v>
      </c>
      <c r="G6" s="142">
        <f>C3*F6</f>
        <v>250</v>
      </c>
    </row>
    <row r="7" spans="2:7" ht="16.5" thickBot="1">
      <c r="B7" s="187" t="s">
        <v>844</v>
      </c>
      <c r="C7" s="188"/>
      <c r="D7" s="141"/>
      <c r="E7" s="142">
        <f>SUM(E5:E6)</f>
        <v>1100</v>
      </c>
      <c r="F7" s="143"/>
      <c r="G7" s="142">
        <f>SUM(SUM(G5:G6))</f>
        <v>1250</v>
      </c>
    </row>
    <row r="8" spans="2:7">
      <c r="B8" s="139" t="s">
        <v>843</v>
      </c>
      <c r="C8" s="144">
        <f>C3-E7</f>
        <v>3900</v>
      </c>
      <c r="D8" s="179"/>
      <c r="E8" s="180"/>
      <c r="F8" s="180"/>
      <c r="G8" s="181"/>
    </row>
    <row r="9" spans="2:7" ht="16.5" thickBot="1">
      <c r="B9" s="139" t="s">
        <v>859</v>
      </c>
      <c r="C9" s="159">
        <v>800</v>
      </c>
      <c r="D9" s="179"/>
      <c r="E9" s="180"/>
      <c r="F9" s="180"/>
      <c r="G9" s="181"/>
    </row>
    <row r="10" spans="2:7" ht="16.5" thickBot="1">
      <c r="B10" s="140" t="s">
        <v>846</v>
      </c>
      <c r="C10" s="138">
        <f>C8-C9</f>
        <v>3100</v>
      </c>
      <c r="D10" s="182"/>
      <c r="E10" s="183"/>
      <c r="F10" s="183"/>
      <c r="G10" s="184"/>
    </row>
  </sheetData>
  <sheetProtection sheet="1" objects="1" scenarios="1"/>
  <mergeCells count="9">
    <mergeCell ref="B2:C2"/>
    <mergeCell ref="D2:G2"/>
    <mergeCell ref="D3:E3"/>
    <mergeCell ref="F3:G3"/>
    <mergeCell ref="D8:G10"/>
    <mergeCell ref="B6:C6"/>
    <mergeCell ref="B7:C7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8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200" t="s">
        <v>847</v>
      </c>
      <c r="C2" s="201"/>
      <c r="D2" s="201"/>
      <c r="E2" s="201"/>
      <c r="F2" s="201"/>
      <c r="G2" s="202"/>
    </row>
    <row r="3" spans="2:7">
      <c r="B3" s="63" t="s">
        <v>812</v>
      </c>
      <c r="C3" s="64" t="s">
        <v>813</v>
      </c>
      <c r="D3" s="64" t="s">
        <v>814</v>
      </c>
      <c r="E3" s="64" t="s">
        <v>818</v>
      </c>
      <c r="F3" s="90" t="s">
        <v>815</v>
      </c>
      <c r="G3" s="65" t="s">
        <v>816</v>
      </c>
    </row>
    <row r="4" spans="2:7" s="164" customFormat="1" ht="15.75" customHeight="1">
      <c r="B4" s="160">
        <v>40831</v>
      </c>
      <c r="C4" s="161">
        <v>425</v>
      </c>
      <c r="D4" s="126" t="str">
        <f t="shared" ref="D4" si="0">IF(C4="","",VLOOKUP(C4,Comptes,2,FALSE))</f>
        <v>Personnel - Avances et acomptes</v>
      </c>
      <c r="E4" s="203" t="s">
        <v>850</v>
      </c>
      <c r="F4" s="162">
        <v>800</v>
      </c>
      <c r="G4" s="163"/>
    </row>
    <row r="5" spans="2:7" s="164" customFormat="1">
      <c r="B5" s="132"/>
      <c r="C5" s="165">
        <v>512</v>
      </c>
      <c r="D5" s="127" t="str">
        <f t="shared" ref="D5:D6" si="1">IF(C5="","",VLOOKUP(C5,Comptes,2,FALSE))</f>
        <v>Banques</v>
      </c>
      <c r="E5" s="204"/>
      <c r="F5" s="166"/>
      <c r="G5" s="163">
        <v>800</v>
      </c>
    </row>
    <row r="6" spans="2:7" s="164" customFormat="1">
      <c r="B6" s="160">
        <v>40847</v>
      </c>
      <c r="C6" s="161">
        <v>641</v>
      </c>
      <c r="D6" s="126" t="str">
        <f t="shared" si="1"/>
        <v>Rémunérations du personnel</v>
      </c>
      <c r="E6" s="203" t="s">
        <v>851</v>
      </c>
      <c r="F6" s="166">
        <v>5000</v>
      </c>
      <c r="G6" s="163"/>
    </row>
    <row r="7" spans="2:7" s="164" customFormat="1">
      <c r="B7" s="66"/>
      <c r="C7" s="167">
        <v>421</v>
      </c>
      <c r="D7" s="67" t="str">
        <f t="shared" ref="D7:D14" si="2">IF(C7="","",VLOOKUP(C7,Comptes,2,FALSE))</f>
        <v>Personnel - Rémunérations dues</v>
      </c>
      <c r="E7" s="205"/>
      <c r="F7" s="166"/>
      <c r="G7" s="163">
        <v>5000</v>
      </c>
    </row>
    <row r="8" spans="2:7" s="164" customFormat="1">
      <c r="B8" s="160">
        <v>40847</v>
      </c>
      <c r="C8" s="161">
        <v>421</v>
      </c>
      <c r="D8" s="126" t="str">
        <f t="shared" ref="D8:D13" si="3">IF(C8="","",VLOOKUP(C8,Comptes,2,FALSE))</f>
        <v>Personnel - Rémunérations dues</v>
      </c>
      <c r="E8" s="203" t="s">
        <v>852</v>
      </c>
      <c r="F8" s="166">
        <v>1100</v>
      </c>
      <c r="G8" s="163"/>
    </row>
    <row r="9" spans="2:7" s="164" customFormat="1">
      <c r="B9" s="66"/>
      <c r="C9" s="167">
        <v>431</v>
      </c>
      <c r="D9" s="67" t="str">
        <f t="shared" si="3"/>
        <v>Sécurité sociale</v>
      </c>
      <c r="E9" s="205"/>
      <c r="F9" s="166"/>
      <c r="G9" s="163">
        <v>750</v>
      </c>
    </row>
    <row r="10" spans="2:7" s="164" customFormat="1">
      <c r="B10" s="132"/>
      <c r="C10" s="165">
        <v>437</v>
      </c>
      <c r="D10" s="127" t="str">
        <f t="shared" si="3"/>
        <v>Autres organismes sociaux</v>
      </c>
      <c r="E10" s="204"/>
      <c r="F10" s="166"/>
      <c r="G10" s="163">
        <v>350</v>
      </c>
    </row>
    <row r="11" spans="2:7" s="164" customFormat="1" ht="31.5">
      <c r="B11" s="160">
        <v>40847</v>
      </c>
      <c r="C11" s="161">
        <v>645</v>
      </c>
      <c r="D11" s="126" t="str">
        <f t="shared" si="3"/>
        <v>Charges de Sécurité sociale et de prévoyance</v>
      </c>
      <c r="E11" s="203" t="s">
        <v>853</v>
      </c>
      <c r="F11" s="166">
        <v>1250</v>
      </c>
      <c r="G11" s="163"/>
    </row>
    <row r="12" spans="2:7" s="164" customFormat="1">
      <c r="B12" s="66"/>
      <c r="C12" s="167">
        <v>431</v>
      </c>
      <c r="D12" s="67" t="str">
        <f t="shared" si="3"/>
        <v>Sécurité sociale</v>
      </c>
      <c r="E12" s="205"/>
      <c r="F12" s="166"/>
      <c r="G12" s="163">
        <v>1000</v>
      </c>
    </row>
    <row r="13" spans="2:7" s="164" customFormat="1">
      <c r="B13" s="132"/>
      <c r="C13" s="165">
        <v>437</v>
      </c>
      <c r="D13" s="127" t="str">
        <f t="shared" si="3"/>
        <v>Autres organismes sociaux</v>
      </c>
      <c r="E13" s="204"/>
      <c r="F13" s="166"/>
      <c r="G13" s="163">
        <v>250</v>
      </c>
    </row>
    <row r="14" spans="2:7" s="164" customFormat="1">
      <c r="B14" s="160">
        <v>40847</v>
      </c>
      <c r="C14" s="161">
        <v>421</v>
      </c>
      <c r="D14" s="126" t="str">
        <f t="shared" si="2"/>
        <v>Personnel - Rémunérations dues</v>
      </c>
      <c r="E14" s="203" t="s">
        <v>854</v>
      </c>
      <c r="F14" s="166">
        <v>3900</v>
      </c>
      <c r="G14" s="163"/>
    </row>
    <row r="15" spans="2:7" s="164" customFormat="1">
      <c r="B15" s="66"/>
      <c r="C15" s="167">
        <v>425</v>
      </c>
      <c r="D15" s="67" t="str">
        <f t="shared" ref="D15:D16" si="4">IF(C15="","",VLOOKUP(C15,Comptes,2,FALSE))</f>
        <v>Personnel - Avances et acomptes</v>
      </c>
      <c r="E15" s="205"/>
      <c r="F15" s="166"/>
      <c r="G15" s="163">
        <v>800</v>
      </c>
    </row>
    <row r="16" spans="2:7" s="164" customFormat="1">
      <c r="B16" s="132"/>
      <c r="C16" s="165">
        <v>512</v>
      </c>
      <c r="D16" s="127" t="str">
        <f t="shared" si="4"/>
        <v>Banques</v>
      </c>
      <c r="E16" s="204"/>
      <c r="F16" s="168"/>
      <c r="G16" s="169">
        <v>3100</v>
      </c>
    </row>
    <row r="17" spans="2:7" ht="16.5" thickBot="1">
      <c r="B17" s="193" t="s">
        <v>817</v>
      </c>
      <c r="C17" s="194"/>
      <c r="D17" s="195"/>
      <c r="E17" s="125"/>
      <c r="F17" s="91">
        <f>SUM(F4:F16)</f>
        <v>12050</v>
      </c>
      <c r="G17" s="150">
        <f>SUM(G4:G16)</f>
        <v>12050</v>
      </c>
    </row>
    <row r="18" spans="2:7" ht="16.5" thickBot="1">
      <c r="B18" s="196" t="s">
        <v>819</v>
      </c>
      <c r="C18" s="197"/>
      <c r="D18" s="197"/>
      <c r="E18" s="197"/>
      <c r="F18" s="198" t="str">
        <f>IF(F17=G17,"Ecriture équilibrée","Ecriture non équilibrée")</f>
        <v>Ecriture équilibrée</v>
      </c>
      <c r="G18" s="199"/>
    </row>
  </sheetData>
  <sheetProtection sheet="1" objects="1" scenarios="1"/>
  <mergeCells count="9">
    <mergeCell ref="B17:D17"/>
    <mergeCell ref="B18:E18"/>
    <mergeCell ref="F18:G18"/>
    <mergeCell ref="B2:G2"/>
    <mergeCell ref="E4:E5"/>
    <mergeCell ref="E6:E7"/>
    <mergeCell ref="E14:E16"/>
    <mergeCell ref="E8:E10"/>
    <mergeCell ref="E11:E13"/>
  </mergeCells>
  <conditionalFormatting sqref="F18:G18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4 B8 B6 B11 B4">
      <formula1>40544</formula1>
      <formula2>40908</formula2>
    </dataValidation>
    <dataValidation allowBlank="1" showInputMessage="1" showErrorMessage="1" prompt="Saisissez un numéro de compte !" sqref="C4:C16"/>
    <dataValidation allowBlank="1" showInputMessage="1" showErrorMessage="1" prompt="Saisissez le montant à débiter !" sqref="F4:F16"/>
    <dataValidation allowBlank="1" showInputMessage="1" showErrorMessage="1" prompt="Saisissez le montant à créditer !" sqref="G4:G16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42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22.7109375" style="13" customWidth="1"/>
    <col min="5" max="5" width="3.7109375" style="13" customWidth="1"/>
    <col min="6" max="7" width="22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214" t="s">
        <v>822</v>
      </c>
      <c r="C2" s="215"/>
      <c r="D2" s="215"/>
      <c r="E2" s="215"/>
      <c r="F2" s="215"/>
      <c r="G2" s="215"/>
      <c r="H2" s="216"/>
    </row>
    <row r="3" spans="2:8" ht="16.5" thickBot="1">
      <c r="B3" s="69"/>
      <c r="C3" s="70"/>
      <c r="D3" s="70"/>
      <c r="E3" s="70"/>
      <c r="F3" s="70"/>
      <c r="G3" s="70"/>
      <c r="H3" s="71"/>
    </row>
    <row r="4" spans="2:8" s="5" customFormat="1" ht="16.5" thickBot="1">
      <c r="B4" s="72"/>
      <c r="C4" s="210" t="s">
        <v>820</v>
      </c>
      <c r="D4" s="211"/>
      <c r="E4" s="73"/>
      <c r="F4" s="212" t="s">
        <v>821</v>
      </c>
      <c r="G4" s="213"/>
      <c r="H4" s="74"/>
    </row>
    <row r="5" spans="2:8" ht="16.5" thickBot="1">
      <c r="B5" s="75"/>
      <c r="C5" s="76"/>
      <c r="D5" s="76"/>
      <c r="E5" s="76"/>
      <c r="F5" s="76"/>
      <c r="G5" s="76"/>
      <c r="H5" s="77"/>
    </row>
    <row r="6" spans="2:8">
      <c r="B6" s="75"/>
      <c r="C6" s="206">
        <v>425</v>
      </c>
      <c r="D6" s="207"/>
      <c r="E6" s="76"/>
      <c r="F6" s="206">
        <v>421</v>
      </c>
      <c r="G6" s="207"/>
      <c r="H6" s="77"/>
    </row>
    <row r="7" spans="2:8" ht="16.5" customHeight="1" thickBot="1">
      <c r="B7" s="75"/>
      <c r="C7" s="208" t="str">
        <f>IF(C6="","",VLOOKUP(C6,Comptes,2,FALSE))</f>
        <v>Personnel - Avances et acomptes</v>
      </c>
      <c r="D7" s="209"/>
      <c r="E7" s="76"/>
      <c r="F7" s="218" t="str">
        <f>IF(F6="","",VLOOKUP(F6,Comptes,2,FALSE))</f>
        <v>Personnel - Rémunérations dues</v>
      </c>
      <c r="G7" s="209"/>
      <c r="H7" s="77"/>
    </row>
    <row r="8" spans="2:8">
      <c r="B8" s="75"/>
      <c r="C8" s="100">
        <f>IF(C6="","",VLOOKUP(C6,Journal!C4:G5,4,FALSE))</f>
        <v>800</v>
      </c>
      <c r="D8" s="100">
        <f>IF(C6="","",VLOOKUP(C6,Journal!C14:G16,5,FALSE))</f>
        <v>800</v>
      </c>
      <c r="E8" s="76"/>
      <c r="F8" s="99">
        <f>IF(F6="","",VLOOKUP(F6,Journal!C8:G10,4,FALSE))</f>
        <v>1100</v>
      </c>
      <c r="G8" s="133">
        <f>IF(F6="","",VLOOKUP(F6,Journal!C6:G7,5,FALSE))</f>
        <v>5000</v>
      </c>
      <c r="H8" s="77"/>
    </row>
    <row r="9" spans="2:8" ht="16.5" thickBot="1">
      <c r="B9" s="75"/>
      <c r="C9" s="92"/>
      <c r="D9" s="101"/>
      <c r="E9" s="76"/>
      <c r="F9" s="131">
        <f>IF(F6="","",VLOOKUP(F6,Journal!C14:G16,4,FALSE))</f>
        <v>3900</v>
      </c>
      <c r="G9" s="133"/>
      <c r="H9" s="77"/>
    </row>
    <row r="10" spans="2:8" ht="16.5" thickBot="1">
      <c r="B10" s="75"/>
      <c r="C10" s="93">
        <f>SUM(C8:C9)</f>
        <v>800</v>
      </c>
      <c r="D10" s="93">
        <f>SUM(D8:D9)</f>
        <v>800</v>
      </c>
      <c r="E10" s="76"/>
      <c r="F10" s="92">
        <f>SUM(F8:F9)</f>
        <v>5000</v>
      </c>
      <c r="G10" s="93">
        <f>SUM(G8:G9)</f>
        <v>5000</v>
      </c>
      <c r="H10" s="77"/>
    </row>
    <row r="11" spans="2:8" ht="16.5" thickBot="1">
      <c r="B11" s="75"/>
      <c r="C11" s="94" t="str">
        <f>IF(C10&gt;=D10,"SD =","SC =")</f>
        <v>SD =</v>
      </c>
      <c r="D11" s="95">
        <f>IF(C10&gt;D10,C10-D10,D10-C10)</f>
        <v>0</v>
      </c>
      <c r="E11" s="76"/>
      <c r="F11" s="94" t="str">
        <f>IF(F10&gt;G10,"SD =","SC =")</f>
        <v>SC =</v>
      </c>
      <c r="G11" s="95">
        <f>IF(F10&gt;G10,F10-G10,G10-F10)</f>
        <v>0</v>
      </c>
      <c r="H11" s="77"/>
    </row>
    <row r="12" spans="2:8" ht="16.5" thickBot="1">
      <c r="B12" s="75"/>
      <c r="C12" s="96"/>
      <c r="D12" s="97"/>
      <c r="E12" s="76"/>
      <c r="F12" s="96"/>
      <c r="G12" s="97"/>
      <c r="H12" s="77"/>
    </row>
    <row r="13" spans="2:8">
      <c r="B13" s="75"/>
      <c r="C13" s="206">
        <v>512</v>
      </c>
      <c r="D13" s="207"/>
      <c r="E13" s="76"/>
      <c r="F13" s="206">
        <v>431</v>
      </c>
      <c r="G13" s="207"/>
      <c r="H13" s="77"/>
    </row>
    <row r="14" spans="2:8" ht="16.5" customHeight="1" thickBot="1">
      <c r="B14" s="75"/>
      <c r="C14" s="208" t="str">
        <f>IF(C13="","",VLOOKUP(C13,Comptes,2,FALSE))</f>
        <v>Banques</v>
      </c>
      <c r="D14" s="209"/>
      <c r="E14" s="76"/>
      <c r="F14" s="208" t="str">
        <f>IF(F13="","",VLOOKUP(F13,Comptes,2,FALSE))</f>
        <v>Sécurité sociale</v>
      </c>
      <c r="G14" s="217"/>
      <c r="H14" s="77"/>
    </row>
    <row r="15" spans="2:8">
      <c r="B15" s="75"/>
      <c r="C15" s="68"/>
      <c r="D15" s="100">
        <f>IF(C13="","",VLOOKUP(C13,Journal!C4:G5,5,FALSE))</f>
        <v>800</v>
      </c>
      <c r="E15" s="76"/>
      <c r="F15" s="148"/>
      <c r="G15" s="99">
        <f>IF(F13="","",VLOOKUP(F13,Journal!C8:G10,5,FALSE))</f>
        <v>750</v>
      </c>
      <c r="H15" s="77"/>
    </row>
    <row r="16" spans="2:8" ht="16.5" thickBot="1">
      <c r="B16" s="75"/>
      <c r="C16" s="128"/>
      <c r="D16" s="129">
        <f>IF(C13="","",VLOOKUP(C13,Journal!C14:G16,5,FALSE))</f>
        <v>3100</v>
      </c>
      <c r="E16" s="76"/>
      <c r="F16" s="149"/>
      <c r="G16" s="130">
        <f>IF(F13="","",VLOOKUP(F13,Journal!C11:G13,5,FALSE))</f>
        <v>1000</v>
      </c>
      <c r="H16" s="77"/>
    </row>
    <row r="17" spans="2:8" ht="16.5" thickBot="1">
      <c r="B17" s="75"/>
      <c r="C17" s="93">
        <f>SUM(C15:C16)</f>
        <v>0</v>
      </c>
      <c r="D17" s="93">
        <f>SUM(D15:D16)</f>
        <v>3900</v>
      </c>
      <c r="E17" s="76"/>
      <c r="F17" s="93">
        <f>SUM(F15:F16)</f>
        <v>0</v>
      </c>
      <c r="G17" s="93">
        <f>SUM(G15:G16)</f>
        <v>1750</v>
      </c>
      <c r="H17" s="77"/>
    </row>
    <row r="18" spans="2:8" ht="16.5" thickBot="1">
      <c r="B18" s="75"/>
      <c r="C18" s="94" t="str">
        <f>IF(C17&gt;=D17,"SD =","SC =")</f>
        <v>SC =</v>
      </c>
      <c r="D18" s="95">
        <f>IF(C17&gt;D17,C17-D17,D17-C17)</f>
        <v>3900</v>
      </c>
      <c r="E18" s="76"/>
      <c r="F18" s="94" t="str">
        <f>IF(F17&gt;G17,"SD =","SC =")</f>
        <v>SC =</v>
      </c>
      <c r="G18" s="95">
        <f>IF(F17&gt;G17,F17-G17,G17-F17)</f>
        <v>1750</v>
      </c>
      <c r="H18" s="77"/>
    </row>
    <row r="19" spans="2:8" ht="16.5" thickBot="1">
      <c r="B19" s="75"/>
      <c r="E19" s="76"/>
      <c r="F19" s="96"/>
      <c r="G19" s="97"/>
      <c r="H19" s="77"/>
    </row>
    <row r="20" spans="2:8">
      <c r="B20" s="75"/>
      <c r="C20" s="96"/>
      <c r="D20" s="97"/>
      <c r="E20" s="76"/>
      <c r="F20" s="206">
        <v>437</v>
      </c>
      <c r="G20" s="207"/>
      <c r="H20" s="77"/>
    </row>
    <row r="21" spans="2:8" ht="16.5" thickBot="1">
      <c r="B21" s="75"/>
      <c r="C21" s="76"/>
      <c r="D21" s="76"/>
      <c r="E21" s="76"/>
      <c r="F21" s="208" t="str">
        <f>IF(F20="","",VLOOKUP(F20,Comptes,2,FALSE))</f>
        <v>Autres organismes sociaux</v>
      </c>
      <c r="G21" s="209"/>
      <c r="H21" s="77"/>
    </row>
    <row r="22" spans="2:8">
      <c r="B22" s="75"/>
      <c r="C22" s="76"/>
      <c r="D22" s="76"/>
      <c r="E22" s="76"/>
      <c r="F22" s="99"/>
      <c r="G22" s="99">
        <f>IF(F20="","",VLOOKUP(F20,Journal!C8:G10,5,FALSE))</f>
        <v>350</v>
      </c>
      <c r="H22" s="77"/>
    </row>
    <row r="23" spans="2:8" ht="16.5" thickBot="1">
      <c r="B23" s="75"/>
      <c r="C23" s="76"/>
      <c r="D23" s="76"/>
      <c r="E23" s="76"/>
      <c r="F23" s="131"/>
      <c r="G23" s="131">
        <f>IF(F20="","",VLOOKUP(F20,Journal!C11:G13,5,FALSE))</f>
        <v>250</v>
      </c>
      <c r="H23" s="77"/>
    </row>
    <row r="24" spans="2:8" ht="16.5" thickBot="1">
      <c r="B24" s="75"/>
      <c r="C24" s="76"/>
      <c r="D24" s="76"/>
      <c r="E24" s="76"/>
      <c r="F24" s="93">
        <f>SUM(F22:F23)</f>
        <v>0</v>
      </c>
      <c r="G24" s="93">
        <f>SUM(G22:G23)</f>
        <v>600</v>
      </c>
      <c r="H24" s="77"/>
    </row>
    <row r="25" spans="2:8" ht="16.5" thickBot="1">
      <c r="B25" s="75"/>
      <c r="C25" s="76"/>
      <c r="D25" s="76"/>
      <c r="E25" s="76"/>
      <c r="F25" s="94" t="str">
        <f>IF(F24&gt;G24,"SD =","SC =")</f>
        <v>SC =</v>
      </c>
      <c r="G25" s="95">
        <f>IF(F24&gt;G24,F24-G24,G24-F24)</f>
        <v>600</v>
      </c>
      <c r="H25" s="77"/>
    </row>
    <row r="26" spans="2:8" ht="16.5" thickBot="1">
      <c r="B26" s="75"/>
      <c r="C26" s="76"/>
      <c r="D26" s="76"/>
      <c r="E26" s="76"/>
      <c r="F26" s="96"/>
      <c r="G26" s="97"/>
      <c r="H26" s="77"/>
    </row>
    <row r="27" spans="2:8" ht="16.5" thickBot="1">
      <c r="B27" s="75"/>
      <c r="C27" s="210" t="s">
        <v>848</v>
      </c>
      <c r="D27" s="211"/>
      <c r="E27" s="76"/>
      <c r="F27" s="212" t="s">
        <v>849</v>
      </c>
      <c r="G27" s="213"/>
      <c r="H27" s="77"/>
    </row>
    <row r="28" spans="2:8" ht="16.5" thickBot="1">
      <c r="B28" s="75"/>
      <c r="C28" s="96"/>
      <c r="D28" s="97"/>
      <c r="E28" s="73"/>
      <c r="F28" s="96"/>
      <c r="G28" s="97"/>
      <c r="H28" s="77"/>
    </row>
    <row r="29" spans="2:8">
      <c r="B29" s="75"/>
      <c r="C29" s="206">
        <v>641</v>
      </c>
      <c r="D29" s="207"/>
      <c r="E29" s="76"/>
      <c r="F29" s="96"/>
      <c r="G29" s="97"/>
      <c r="H29" s="77"/>
    </row>
    <row r="30" spans="2:8" ht="16.5" thickBot="1">
      <c r="B30" s="75"/>
      <c r="C30" s="208" t="str">
        <f>IF(C29="","",VLOOKUP(C29,Comptes,2,FALSE))</f>
        <v>Rémunérations du personnel</v>
      </c>
      <c r="D30" s="209"/>
      <c r="E30" s="76"/>
      <c r="F30" s="96"/>
      <c r="G30" s="97"/>
      <c r="H30" s="77"/>
    </row>
    <row r="31" spans="2:8">
      <c r="B31" s="75"/>
      <c r="C31" s="100">
        <f>IF(C29="","",VLOOKUP(C29,Journal!C6:G7,4,FALSE))</f>
        <v>5000</v>
      </c>
      <c r="D31" s="100"/>
      <c r="E31" s="76"/>
      <c r="F31" s="96"/>
      <c r="G31" s="97"/>
      <c r="H31" s="77"/>
    </row>
    <row r="32" spans="2:8" ht="16.5" thickBot="1">
      <c r="B32" s="75"/>
      <c r="C32" s="101"/>
      <c r="D32" s="92"/>
      <c r="E32" s="76"/>
      <c r="F32" s="96"/>
      <c r="G32" s="97"/>
      <c r="H32" s="77"/>
    </row>
    <row r="33" spans="2:8" ht="16.5" thickBot="1">
      <c r="B33" s="75"/>
      <c r="C33" s="93">
        <f>SUM(C31:C32)</f>
        <v>5000</v>
      </c>
      <c r="D33" s="93">
        <f>SUM(D31:D32)</f>
        <v>0</v>
      </c>
      <c r="E33" s="76"/>
      <c r="F33" s="96"/>
      <c r="G33" s="97"/>
      <c r="H33" s="77"/>
    </row>
    <row r="34" spans="2:8" ht="16.5" thickBot="1">
      <c r="B34" s="75"/>
      <c r="C34" s="94" t="str">
        <f>IF(C33&gt;=D33,"SD =","SC =")</f>
        <v>SD =</v>
      </c>
      <c r="D34" s="95">
        <f>IF(C33&gt;D33,C33-D33,D33-C33)</f>
        <v>5000</v>
      </c>
      <c r="E34" s="76"/>
      <c r="F34" s="96"/>
      <c r="G34" s="97"/>
      <c r="H34" s="77"/>
    </row>
    <row r="35" spans="2:8" ht="16.5" thickBot="1">
      <c r="B35" s="75"/>
      <c r="C35" s="76"/>
      <c r="D35" s="76"/>
      <c r="E35" s="76"/>
      <c r="F35" s="220"/>
      <c r="G35" s="220"/>
      <c r="H35" s="77"/>
    </row>
    <row r="36" spans="2:8">
      <c r="B36" s="75"/>
      <c r="C36" s="206">
        <v>645</v>
      </c>
      <c r="D36" s="207"/>
      <c r="E36" s="76"/>
      <c r="F36" s="219"/>
      <c r="G36" s="219"/>
      <c r="H36" s="77"/>
    </row>
    <row r="37" spans="2:8" ht="16.5" customHeight="1" thickBot="1">
      <c r="B37" s="75"/>
      <c r="C37" s="208" t="str">
        <f>IF(C36="","",VLOOKUP(C36,Comptes,2,FALSE))</f>
        <v>Charges de Sécurité sociale et de prévoyance</v>
      </c>
      <c r="D37" s="209"/>
      <c r="E37" s="76"/>
      <c r="F37" s="134"/>
      <c r="G37" s="134"/>
      <c r="H37" s="77"/>
    </row>
    <row r="38" spans="2:8">
      <c r="B38" s="75"/>
      <c r="C38" s="100">
        <f>IF(C36="","",VLOOKUP(C36,Journal!C11:G13,4,FALSE))</f>
        <v>1250</v>
      </c>
      <c r="D38" s="100"/>
      <c r="E38" s="76"/>
      <c r="F38" s="134"/>
      <c r="G38" s="134"/>
      <c r="H38" s="77"/>
    </row>
    <row r="39" spans="2:8" ht="16.5" thickBot="1">
      <c r="B39" s="75"/>
      <c r="C39" s="101"/>
      <c r="D39" s="92"/>
      <c r="E39" s="76"/>
      <c r="F39" s="134"/>
      <c r="G39" s="134"/>
      <c r="H39" s="77"/>
    </row>
    <row r="40" spans="2:8" ht="16.5" thickBot="1">
      <c r="B40" s="75"/>
      <c r="C40" s="93">
        <f>SUM(C38:C39)</f>
        <v>1250</v>
      </c>
      <c r="D40" s="93">
        <f>SUM(D38:D39)</f>
        <v>0</v>
      </c>
      <c r="E40" s="76"/>
      <c r="F40" s="134"/>
      <c r="G40" s="134"/>
      <c r="H40" s="77"/>
    </row>
    <row r="41" spans="2:8" ht="16.5" thickBot="1">
      <c r="B41" s="75"/>
      <c r="C41" s="94" t="str">
        <f>IF(C40&gt;=D40,"SD =","SC =")</f>
        <v>SD =</v>
      </c>
      <c r="D41" s="95">
        <f>IF(C40&gt;D40,C40-D40,D40-C40)</f>
        <v>1250</v>
      </c>
      <c r="E41" s="76"/>
      <c r="F41" s="96"/>
      <c r="G41" s="97"/>
      <c r="H41" s="77"/>
    </row>
    <row r="42" spans="2:8" ht="16.5" thickBot="1">
      <c r="B42" s="78"/>
      <c r="C42" s="79"/>
      <c r="D42" s="79"/>
      <c r="E42" s="79"/>
      <c r="F42" s="79"/>
      <c r="G42" s="79"/>
      <c r="H42" s="80"/>
    </row>
  </sheetData>
  <sheetProtection sheet="1" objects="1" scenarios="1"/>
  <mergeCells count="21">
    <mergeCell ref="C37:D37"/>
    <mergeCell ref="B2:H2"/>
    <mergeCell ref="C6:D6"/>
    <mergeCell ref="C7:D7"/>
    <mergeCell ref="F13:G13"/>
    <mergeCell ref="F14:G14"/>
    <mergeCell ref="C4:D4"/>
    <mergeCell ref="F4:G4"/>
    <mergeCell ref="F6:G6"/>
    <mergeCell ref="F7:G7"/>
    <mergeCell ref="C29:D29"/>
    <mergeCell ref="C30:D30"/>
    <mergeCell ref="C14:D14"/>
    <mergeCell ref="F36:G36"/>
    <mergeCell ref="C13:D13"/>
    <mergeCell ref="F35:G35"/>
    <mergeCell ref="F20:G20"/>
    <mergeCell ref="F21:G21"/>
    <mergeCell ref="C27:D27"/>
    <mergeCell ref="F27:G27"/>
    <mergeCell ref="C36:D36"/>
  </mergeCells>
  <dataValidations count="1">
    <dataValidation allowBlank="1" showInputMessage="1" showErrorMessage="1" prompt="Saisir un  numéro de compte !" sqref="C29:D29 C36:D36 C6:D6 F6:G6 C13:D13 F13:G13 F20:G20 F35:G3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2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1" customWidth="1"/>
    <col min="2" max="2" width="8.7109375" style="1" customWidth="1"/>
    <col min="3" max="3" width="4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4" t="s">
        <v>827</v>
      </c>
      <c r="C2" s="215"/>
      <c r="D2" s="215"/>
      <c r="E2" s="215"/>
      <c r="F2" s="215"/>
      <c r="G2" s="216"/>
      <c r="H2" s="13"/>
    </row>
    <row r="3" spans="2:8" s="2" customFormat="1">
      <c r="B3" s="225" t="s">
        <v>813</v>
      </c>
      <c r="C3" s="227" t="s">
        <v>814</v>
      </c>
      <c r="D3" s="223" t="s">
        <v>823</v>
      </c>
      <c r="E3" s="224"/>
      <c r="F3" s="223" t="s">
        <v>824</v>
      </c>
      <c r="G3" s="224"/>
    </row>
    <row r="4" spans="2:8" s="2" customFormat="1" ht="16.5" thickBot="1">
      <c r="B4" s="226"/>
      <c r="C4" s="228"/>
      <c r="D4" s="86" t="s">
        <v>815</v>
      </c>
      <c r="E4" s="81" t="s">
        <v>816</v>
      </c>
      <c r="F4" s="86" t="s">
        <v>825</v>
      </c>
      <c r="G4" s="81" t="s">
        <v>826</v>
      </c>
    </row>
    <row r="5" spans="2:8" s="2" customFormat="1">
      <c r="B5" s="87">
        <v>421</v>
      </c>
      <c r="C5" s="83" t="str">
        <f t="shared" ref="C5" si="0">IF(B5="","",VLOOKUP(B5,Comptes,2,FALSE))</f>
        <v>Personnel - Rémunérations dues</v>
      </c>
      <c r="D5" s="84">
        <f>'Grand Livre'!F10</f>
        <v>5000</v>
      </c>
      <c r="E5" s="85">
        <f>'Grand Livre'!G10</f>
        <v>5000</v>
      </c>
      <c r="F5" s="84" t="str">
        <f t="shared" ref="F5:F7" si="1">IF(D5&gt;E5,D5-E5,"")</f>
        <v/>
      </c>
      <c r="G5" s="82" t="str">
        <f t="shared" ref="G5:G7" si="2">IF(E5&gt;D5,E5-D5,"")</f>
        <v/>
      </c>
    </row>
    <row r="6" spans="2:8">
      <c r="B6" s="87">
        <v>425</v>
      </c>
      <c r="C6" s="83" t="str">
        <f t="shared" ref="C6" si="3">IF(B6="","",VLOOKUP(B6,Comptes,2,FALSE))</f>
        <v>Personnel - Avances et acomptes</v>
      </c>
      <c r="D6" s="84">
        <f>'Grand Livre'!C10</f>
        <v>800</v>
      </c>
      <c r="E6" s="85">
        <f>'Grand Livre'!D10</f>
        <v>800</v>
      </c>
      <c r="F6" s="84" t="str">
        <f t="shared" si="1"/>
        <v/>
      </c>
      <c r="G6" s="82" t="str">
        <f t="shared" si="2"/>
        <v/>
      </c>
    </row>
    <row r="7" spans="2:8">
      <c r="B7" s="87">
        <v>431</v>
      </c>
      <c r="C7" s="83" t="str">
        <f>IF(B7="","",VLOOKUP(B7,Comptes,2,FALSE))</f>
        <v>Sécurité sociale</v>
      </c>
      <c r="D7" s="84">
        <f>'Grand Livre'!F17</f>
        <v>0</v>
      </c>
      <c r="E7" s="85">
        <f>'Grand Livre'!G17</f>
        <v>1750</v>
      </c>
      <c r="F7" s="84" t="str">
        <f t="shared" si="1"/>
        <v/>
      </c>
      <c r="G7" s="82">
        <f t="shared" si="2"/>
        <v>1750</v>
      </c>
    </row>
    <row r="8" spans="2:8">
      <c r="B8" s="87">
        <v>437</v>
      </c>
      <c r="C8" s="83" t="str">
        <f>IF(B8="","",VLOOKUP(B8,Comptes,2,FALSE))</f>
        <v>Autres organismes sociaux</v>
      </c>
      <c r="D8" s="84">
        <f>'Grand Livre'!F24</f>
        <v>0</v>
      </c>
      <c r="E8" s="85">
        <f>'Grand Livre'!G24</f>
        <v>600</v>
      </c>
      <c r="F8" s="84" t="str">
        <f t="shared" ref="F8" si="4">IF(D8&gt;E8,D8-E8,"")</f>
        <v/>
      </c>
      <c r="G8" s="82">
        <f t="shared" ref="G8" si="5">IF(E8&gt;D8,E8-D8,"")</f>
        <v>600</v>
      </c>
    </row>
    <row r="9" spans="2:8">
      <c r="B9" s="87">
        <v>512</v>
      </c>
      <c r="C9" s="83" t="str">
        <f>IF(B9="","",VLOOKUP(B9,Comptes,2,FALSE))</f>
        <v>Banques</v>
      </c>
      <c r="D9" s="84">
        <f>'Grand Livre'!C17</f>
        <v>0</v>
      </c>
      <c r="E9" s="85">
        <f>'Grand Livre'!D17</f>
        <v>3900</v>
      </c>
      <c r="F9" s="84" t="str">
        <f t="shared" ref="F9" si="6">IF(D9&gt;E9,D9-E9,"")</f>
        <v/>
      </c>
      <c r="G9" s="82">
        <f t="shared" ref="G9" si="7">IF(E9&gt;D9,E9-D9,"")</f>
        <v>3900</v>
      </c>
    </row>
    <row r="10" spans="2:8">
      <c r="B10" s="87">
        <v>641</v>
      </c>
      <c r="C10" s="83" t="str">
        <f t="shared" ref="C10" si="8">IF(B10="","",VLOOKUP(B10,Comptes,2,FALSE))</f>
        <v>Rémunérations du personnel</v>
      </c>
      <c r="D10" s="84">
        <f>'Grand Livre'!C33</f>
        <v>5000</v>
      </c>
      <c r="E10" s="85">
        <f>'Grand Livre'!D33</f>
        <v>0</v>
      </c>
      <c r="F10" s="84">
        <f t="shared" ref="F10:F11" si="9">IF(D10&gt;E10,D10-E10,"")</f>
        <v>5000</v>
      </c>
      <c r="G10" s="82" t="str">
        <f t="shared" ref="G10:G11" si="10">IF(E10&gt;D10,E10-D10,"")</f>
        <v/>
      </c>
    </row>
    <row r="11" spans="2:8" ht="16.5" thickBot="1">
      <c r="B11" s="87">
        <v>645</v>
      </c>
      <c r="C11" s="83" t="str">
        <f t="shared" ref="C11" si="11">IF(B11="","",VLOOKUP(B11,Comptes,2,FALSE))</f>
        <v>Charges de Sécurité sociale et de prévoyance</v>
      </c>
      <c r="D11" s="84">
        <f>'Grand Livre'!C40</f>
        <v>1250</v>
      </c>
      <c r="E11" s="85">
        <f>'Grand Livre'!D40</f>
        <v>0</v>
      </c>
      <c r="F11" s="84">
        <f t="shared" si="9"/>
        <v>1250</v>
      </c>
      <c r="G11" s="82" t="str">
        <f t="shared" si="10"/>
        <v/>
      </c>
    </row>
    <row r="12" spans="2:8" ht="16.5" thickBot="1">
      <c r="B12" s="221" t="s">
        <v>817</v>
      </c>
      <c r="C12" s="222"/>
      <c r="D12" s="89">
        <f>SUM(D5:D11)</f>
        <v>12050</v>
      </c>
      <c r="E12" s="88">
        <f>SUM(E5:E11)</f>
        <v>12050</v>
      </c>
      <c r="F12" s="89">
        <f>SUM(F5:F11)</f>
        <v>6250</v>
      </c>
      <c r="G12" s="88">
        <f>SUM(G5:G11)</f>
        <v>6250</v>
      </c>
    </row>
  </sheetData>
  <sheetProtection sheet="1" objects="1" scenarios="1"/>
  <mergeCells count="6">
    <mergeCell ref="B12:C12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C36" sqref="C36:C37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229" t="s">
        <v>828</v>
      </c>
      <c r="C2" s="230"/>
      <c r="D2" s="230"/>
      <c r="E2" s="231"/>
    </row>
    <row r="3" spans="2:5" ht="16.5" thickBot="1">
      <c r="B3" s="232" t="s">
        <v>419</v>
      </c>
      <c r="C3" s="233"/>
      <c r="D3" s="232" t="s">
        <v>420</v>
      </c>
      <c r="E3" s="233"/>
    </row>
    <row r="4" spans="2:5">
      <c r="B4" s="102" t="s">
        <v>855</v>
      </c>
      <c r="C4" s="105">
        <f>VLOOKUP(641,Balance!B5:G11,5,FALSE)</f>
        <v>5000</v>
      </c>
      <c r="D4" s="103"/>
      <c r="E4" s="151"/>
    </row>
    <row r="5" spans="2:5" ht="15.75" customHeight="1">
      <c r="B5" s="104" t="s">
        <v>856</v>
      </c>
      <c r="C5" s="105">
        <f>VLOOKUP(645,Balance!B5:G11,5,FALSE)</f>
        <v>1250</v>
      </c>
      <c r="D5" s="106"/>
      <c r="E5" s="152"/>
    </row>
    <row r="6" spans="2:5" s="5" customFormat="1" ht="16.5" thickBot="1">
      <c r="B6" s="107" t="s">
        <v>829</v>
      </c>
      <c r="C6" s="108">
        <f>SUM(C4:C5)</f>
        <v>6250</v>
      </c>
      <c r="D6" s="109" t="s">
        <v>830</v>
      </c>
      <c r="E6" s="110">
        <f>SUM(E4:E5)</f>
        <v>0</v>
      </c>
    </row>
    <row r="7" spans="2:5" s="5" customFormat="1" ht="16.5" thickBot="1">
      <c r="B7" s="111" t="s">
        <v>831</v>
      </c>
      <c r="C7" s="112">
        <f>E6-C6</f>
        <v>-6250</v>
      </c>
      <c r="D7" s="113"/>
      <c r="E7" s="114"/>
    </row>
    <row r="8" spans="2:5" ht="16.5" thickBot="1">
      <c r="B8" s="115"/>
      <c r="C8" s="115"/>
      <c r="D8" s="115"/>
      <c r="E8" s="115"/>
    </row>
    <row r="9" spans="2:5" ht="16.5" thickBot="1">
      <c r="B9" s="229" t="s">
        <v>809</v>
      </c>
      <c r="C9" s="230"/>
      <c r="D9" s="230"/>
      <c r="E9" s="231"/>
    </row>
    <row r="10" spans="2:5" ht="16.5" thickBot="1">
      <c r="B10" s="232" t="s">
        <v>832</v>
      </c>
      <c r="C10" s="233"/>
      <c r="D10" s="232" t="s">
        <v>833</v>
      </c>
      <c r="E10" s="233"/>
    </row>
    <row r="11" spans="2:5" s="5" customFormat="1">
      <c r="B11" s="153" t="s">
        <v>834</v>
      </c>
      <c r="C11" s="154"/>
      <c r="D11" s="116" t="s">
        <v>835</v>
      </c>
      <c r="E11" s="117"/>
    </row>
    <row r="12" spans="2:5">
      <c r="B12" s="118" t="s">
        <v>857</v>
      </c>
      <c r="C12" s="105" t="str">
        <f>VLOOKUP(425,Balance!B5:G11,5,FALSE)</f>
        <v/>
      </c>
      <c r="D12" s="119" t="s">
        <v>858</v>
      </c>
      <c r="E12" s="120" t="str">
        <f>VLOOKUP(421,Balance!B5:G11,6,FALSE)</f>
        <v/>
      </c>
    </row>
    <row r="13" spans="2:5">
      <c r="B13" s="118"/>
      <c r="C13" s="105"/>
      <c r="D13" s="13" t="s">
        <v>334</v>
      </c>
      <c r="E13" s="120">
        <f>VLOOKUP(431,Balance!B5:G11,6,FALSE)</f>
        <v>1750</v>
      </c>
    </row>
    <row r="14" spans="2:5">
      <c r="B14" s="118"/>
      <c r="C14" s="105"/>
      <c r="D14" s="13" t="s">
        <v>335</v>
      </c>
      <c r="E14" s="120">
        <f>VLOOKUP(437,Balance!B5:G11,6,FALSE)</f>
        <v>600</v>
      </c>
    </row>
    <row r="15" spans="2:5">
      <c r="B15" s="118"/>
      <c r="C15" s="135"/>
      <c r="D15" s="121" t="s">
        <v>449</v>
      </c>
      <c r="E15" s="120">
        <f>VLOOKUP(512,Balance!B5:G11,6,FALSE)</f>
        <v>3900</v>
      </c>
    </row>
    <row r="16" spans="2:5" s="5" customFormat="1" ht="16.5" thickBot="1">
      <c r="B16" s="122" t="s">
        <v>817</v>
      </c>
      <c r="C16" s="108">
        <f>SUM(C12:C15)</f>
        <v>0</v>
      </c>
      <c r="D16" s="123" t="s">
        <v>817</v>
      </c>
      <c r="E16" s="110">
        <f>SUM(E12:E15)</f>
        <v>6250</v>
      </c>
    </row>
    <row r="17" spans="2:5" s="5" customFormat="1" ht="16.5" thickBot="1">
      <c r="B17" s="111" t="s">
        <v>836</v>
      </c>
      <c r="C17" s="112">
        <f>C16-E16</f>
        <v>-6250</v>
      </c>
      <c r="D17" s="124"/>
      <c r="E17" s="114"/>
    </row>
  </sheetData>
  <sheetProtection sheet="1" objects="1" scenarios="1"/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Livre de paie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2011-10-29T05:55:25Z</dcterms:modified>
</cp:coreProperties>
</file>