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D10" i="6"/>
  <c r="C10"/>
  <c r="C5"/>
  <c r="G10" i="5"/>
  <c r="F18"/>
  <c r="D18"/>
  <c r="D24"/>
  <c r="C24"/>
  <c r="D19" i="3"/>
  <c r="D18"/>
  <c r="D17"/>
  <c r="D16"/>
  <c r="D17" i="5"/>
  <c r="D9"/>
  <c r="F17"/>
  <c r="D15" i="3"/>
  <c r="D14"/>
  <c r="D13"/>
  <c r="D12"/>
  <c r="D33" i="5"/>
  <c r="D32"/>
  <c r="F9"/>
  <c r="G9"/>
  <c r="D11" i="3"/>
  <c r="D10"/>
  <c r="D16" i="5"/>
  <c r="D8"/>
  <c r="F16"/>
  <c r="D8" i="3"/>
  <c r="D9"/>
  <c r="C18" i="5"/>
  <c r="C17"/>
  <c r="C16"/>
  <c r="C9"/>
  <c r="C8"/>
  <c r="G18"/>
  <c r="G17"/>
  <c r="G16"/>
  <c r="G8"/>
  <c r="F8"/>
  <c r="F15"/>
  <c r="D7" i="3"/>
  <c r="D6"/>
  <c r="C8" i="1"/>
  <c r="C10" s="1"/>
  <c r="D7" s="1"/>
  <c r="D8" s="1"/>
  <c r="C6" i="7"/>
  <c r="E6"/>
  <c r="C9" i="1" l="1"/>
  <c r="D11" s="1"/>
  <c r="F19" i="5"/>
  <c r="D9" i="6" s="1"/>
  <c r="G19" i="5"/>
  <c r="E9" i="6" s="1"/>
  <c r="D10" i="1"/>
  <c r="E7" s="1"/>
  <c r="E8" s="1"/>
  <c r="E10" s="1"/>
  <c r="D9"/>
  <c r="E11" s="1"/>
  <c r="C7" i="7"/>
  <c r="C16" s="1"/>
  <c r="C8" i="6"/>
  <c r="D27" i="5"/>
  <c r="E8" i="6" s="1"/>
  <c r="C9"/>
  <c r="C6"/>
  <c r="C23" i="5"/>
  <c r="C11"/>
  <c r="C7"/>
  <c r="D11" s="1"/>
  <c r="E6" i="6" s="1"/>
  <c r="C35" i="5"/>
  <c r="D35"/>
  <c r="C31"/>
  <c r="C19"/>
  <c r="D7" i="6" s="1"/>
  <c r="G20" i="3"/>
  <c r="F20"/>
  <c r="E9" i="1" l="1"/>
  <c r="C36" i="5"/>
  <c r="E10" i="6"/>
  <c r="D6"/>
  <c r="C12" i="5"/>
  <c r="F20"/>
  <c r="G20"/>
  <c r="F6" i="6"/>
  <c r="G6"/>
  <c r="D12" i="5"/>
  <c r="D36"/>
  <c r="F10" i="6" l="1"/>
  <c r="G10"/>
  <c r="C15" i="5"/>
  <c r="D19" s="1"/>
  <c r="C20" s="1"/>
  <c r="E7" i="6" l="1"/>
  <c r="C27" i="5"/>
  <c r="C28" s="1"/>
  <c r="D20"/>
  <c r="B7" i="6"/>
  <c r="E14" i="7" s="1"/>
  <c r="F7" i="5"/>
  <c r="D4" i="3"/>
  <c r="D5"/>
  <c r="D8" i="6" l="1"/>
  <c r="D28" i="5"/>
  <c r="F7" i="6"/>
  <c r="G7"/>
  <c r="C7"/>
  <c r="G11" i="5"/>
  <c r="E5" i="6" s="1"/>
  <c r="F11" i="5"/>
  <c r="D5" i="6" s="1"/>
  <c r="F21" i="3"/>
  <c r="F5" i="6" l="1"/>
  <c r="G5"/>
  <c r="E13" i="7" s="1"/>
  <c r="E15" s="1"/>
  <c r="F8" i="6"/>
  <c r="C13" i="7" s="1"/>
  <c r="C15" s="1"/>
  <c r="G8" i="6"/>
  <c r="D11"/>
  <c r="F9"/>
  <c r="E11"/>
  <c r="G9"/>
  <c r="G11" s="1"/>
  <c r="F12" i="5"/>
  <c r="G12"/>
  <c r="F11" i="6" l="1"/>
</calcChain>
</file>

<file path=xl/sharedStrings.xml><?xml version="1.0" encoding="utf-8"?>
<sst xmlns="http://schemas.openxmlformats.org/spreadsheetml/2006/main" count="1038" uniqueCount="858">
  <si>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</si>
  <si>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</si>
  <si>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</si>
  <si>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</si>
  <si>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</si>
  <si>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</si>
  <si>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</si>
  <si>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</si>
  <si>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</si>
  <si>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</si>
  <si>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</si>
  <si>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</si>
  <si>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</si>
  <si>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</si>
  <si>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</si>
  <si>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</si>
  <si>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</si>
  <si>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</si>
  <si>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</si>
  <si>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</si>
  <si>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</si>
  <si>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</si>
  <si>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</si>
  <si>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</si>
  <si>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</si>
  <si>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</si>
  <si>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</si>
  <si>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</si>
  <si>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</si>
  <si>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</si>
  <si>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</si>
  <si>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</si>
  <si>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</si>
  <si>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</si>
  <si>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</si>
  <si>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</si>
  <si>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</si>
  <si>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</si>
  <si>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</si>
  <si>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</si>
  <si>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</si>
  <si>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</si>
  <si>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</si>
  <si>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</si>
  <si>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</si>
  <si>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</si>
  <si>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</si>
  <si>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</si>
  <si>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</si>
  <si>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</si>
  <si>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</si>
  <si>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</si>
  <si>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</si>
  <si>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</si>
  <si>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</si>
  <si>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</si>
  <si>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</si>
  <si>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</si>
  <si>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</si>
  <si>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</si>
  <si>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</si>
  <si>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</si>
  <si>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</si>
  <si>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</si>
  <si>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</si>
  <si>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</si>
  <si>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</si>
  <si>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</si>
  <si>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</si>
  <si>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</si>
  <si>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</si>
  <si>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</si>
  <si>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</si>
  <si>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</si>
  <si>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</si>
  <si>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</si>
  <si>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</si>
  <si>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</si>
  <si>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</si>
  <si>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</si>
  <si>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</si>
  <si>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</si>
  <si>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</si>
  <si>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</si>
  <si>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</si>
  <si>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</si>
  <si>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</si>
  <si>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</si>
  <si>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</si>
  <si>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</si>
  <si>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</si>
  <si>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</si>
  <si>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</si>
  <si>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</si>
  <si>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</si>
  <si>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</si>
  <si>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</si>
  <si>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</si>
  <si>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</si>
  <si>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</si>
  <si>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</si>
  <si>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</si>
  <si>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</si>
  <si>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</si>
  <si>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</si>
  <si>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</si>
  <si>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</si>
  <si>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</si>
  <si>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</si>
  <si>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</si>
  <si>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</si>
  <si>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</si>
  <si>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</si>
  <si>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</si>
  <si>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</si>
  <si>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</si>
  <si>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</si>
  <si>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</si>
  <si>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</si>
  <si>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</si>
  <si>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</si>
  <si>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</si>
  <si>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</si>
  <si>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</si>
  <si>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</si>
  <si>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</si>
  <si>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</si>
  <si>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</si>
  <si>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</si>
  <si>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</si>
  <si>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</si>
  <si>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</si>
  <si>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</si>
  <si>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</si>
  <si>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</si>
  <si>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</si>
  <si>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</si>
  <si>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</si>
  <si>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</si>
  <si>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</si>
  <si>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</si>
  <si>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</si>
  <si>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</si>
  <si>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</si>
  <si>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</si>
  <si>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</si>
  <si>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</si>
  <si>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</si>
  <si>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</si>
  <si>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</si>
  <si>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</si>
  <si>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</si>
  <si>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</si>
  <si>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</si>
  <si>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</si>
  <si>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</si>
  <si>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</si>
  <si>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</si>
  <si>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</si>
  <si>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</si>
  <si>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</si>
  <si>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</si>
  <si>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</si>
  <si>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</si>
  <si>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</si>
  <si>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</si>
  <si>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</si>
  <si>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</si>
  <si>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</si>
  <si>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</si>
  <si>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</si>
  <si>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</si>
  <si>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</si>
  <si>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</si>
  <si>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</si>
  <si>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</si>
  <si>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</si>
  <si>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</si>
  <si>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</si>
  <si>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</si>
  <si>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</si>
  <si>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</si>
  <si>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</si>
  <si>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</si>
  <si>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</si>
  <si>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</si>
  <si>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</si>
  <si>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</si>
  <si>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</si>
  <si>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</si>
  <si>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</si>
  <si>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</si>
  <si>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</si>
  <si>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</si>
  <si>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</si>
  <si>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</si>
  <si>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</si>
  <si>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</si>
  <si>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</si>
  <si>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</si>
  <si>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</si>
  <si>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</si>
  <si>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</si>
  <si>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</si>
  <si>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</si>
  <si>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</si>
  <si>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</si>
  <si>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</si>
  <si>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</si>
  <si>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</si>
  <si>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</si>
  <si>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</si>
  <si>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</si>
  <si>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</si>
  <si>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</si>
  <si>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</si>
  <si>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</si>
  <si>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</si>
  <si>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</si>
  <si>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</si>
  <si>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</si>
  <si>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</si>
  <si>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</si>
  <si>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</si>
  <si>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</si>
  <si>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</si>
  <si>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</si>
  <si>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</si>
  <si>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</si>
  <si>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</si>
  <si>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</si>
  <si>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</si>
  <si>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</si>
  <si>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</si>
  <si>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</si>
  <si>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</si>
  <si>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</si>
  <si>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</si>
  <si>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</si>
  <si>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</si>
  <si>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</si>
  <si>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</si>
  <si>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</si>
  <si>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</si>
  <si>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</si>
  <si>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</si>
  <si>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</si>
  <si>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</si>
  <si>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</si>
  <si>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</si>
  <si>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</si>
  <si>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</si>
  <si>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</si>
  <si>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</si>
  <si>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</si>
  <si>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</si>
  <si>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</si>
  <si>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</si>
  <si>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</si>
  <si>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</si>
  <si>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</si>
  <si>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</si>
  <si>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</si>
  <si>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</si>
  <si>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</si>
  <si>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</si>
  <si>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</si>
  <si>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</si>
  <si>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</si>
  <si>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</si>
  <si>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</si>
  <si>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</si>
  <si>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</si>
  <si>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</si>
  <si>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</si>
  <si>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</si>
  <si>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</si>
  <si>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</si>
  <si>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</si>
  <si>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</si>
  <si>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</si>
  <si>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</si>
  <si>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</si>
  <si>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</si>
  <si>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</si>
  <si>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</si>
  <si>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</si>
  <si>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</si>
  <si>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</si>
  <si>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</si>
  <si>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</si>
  <si>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</si>
  <si>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</si>
  <si>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</si>
  <si>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</si>
  <si>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</si>
  <si>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</si>
  <si>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</si>
  <si>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</si>
  <si>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</si>
  <si>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</si>
  <si>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</si>
  <si>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</si>
  <si>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</si>
  <si>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</si>
  <si>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</si>
  <si>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</si>
  <si>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</si>
  <si>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</si>
  <si>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</si>
  <si>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</si>
  <si>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</si>
  <si>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</si>
  <si>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</si>
  <si>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</si>
  <si>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</si>
  <si>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</si>
  <si>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</si>
  <si>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</si>
  <si>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</si>
  <si>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</si>
  <si>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</si>
  <si>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</si>
  <si>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</si>
  <si>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</si>
  <si>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</si>
  <si>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</si>
  <si>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</si>
  <si>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</si>
  <si>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</si>
  <si>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</si>
  <si>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</si>
  <si>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</si>
  <si>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</si>
  <si>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</si>
  <si>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</si>
  <si>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</si>
  <si>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</si>
  <si>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</si>
  <si>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</si>
  <si>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</si>
  <si>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</si>
  <si>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</si>
  <si>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</si>
  <si>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</si>
  <si>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</si>
  <si>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</si>
  <si>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</si>
  <si>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</si>
  <si>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</si>
  <si>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</si>
  <si>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</si>
  <si>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</si>
  <si>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</si>
  <si>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</si>
  <si>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</si>
  <si>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</si>
  <si>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</si>
  <si>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</si>
  <si>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</si>
  <si>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</si>
  <si>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</si>
  <si>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</si>
  <si>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</si>
  <si>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</si>
  <si>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</si>
  <si>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</si>
  <si>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</si>
  <si>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</si>
  <si>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</si>
  <si>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</si>
  <si>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</si>
  <si>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</si>
  <si>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</si>
  <si>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</si>
  <si>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</si>
  <si>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</si>
  <si>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</si>
  <si>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</si>
  <si>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</si>
  <si>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</si>
  <si>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</si>
  <si>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</si>
  <si>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</si>
  <si>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</si>
  <si>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</si>
  <si>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</si>
  <si>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</si>
  <si>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</si>
  <si>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</si>
  <si>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</si>
  <si>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</si>
  <si>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</si>
  <si>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</si>
  <si>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</si>
  <si>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</si>
  <si>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</si>
  <si>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</si>
  <si>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</si>
  <si>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</si>
  <si>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</si>
  <si>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</si>
  <si>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</si>
  <si>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</si>
  <si>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</si>
  <si>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</si>
  <si>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</si>
  <si>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</si>
  <si>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</si>
  <si>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</si>
  <si>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</si>
  <si>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</si>
  <si>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</si>
  <si>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</si>
  <si>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</si>
  <si>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</si>
  <si>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</si>
  <si>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</si>
  <si>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</si>
  <si>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</si>
  <si>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</si>
  <si>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</si>
  <si>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</si>
  <si>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</si>
  <si>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</si>
  <si>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</si>
  <si>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</si>
  <si>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</si>
  <si>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</si>
  <si>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</si>
  <si>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</si>
  <si>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</si>
  <si>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</si>
  <si>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</si>
  <si>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</si>
  <si>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</si>
  <si>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</si>
  <si>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</si>
  <si>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</si>
  <si>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</si>
  <si>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</si>
  <si>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</si>
  <si>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</si>
  <si>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</si>
  <si>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</si>
  <si>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</si>
  <si>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</si>
  <si>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</si>
  <si>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</si>
  <si>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</si>
  <si>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</si>
  <si>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</si>
  <si>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</si>
  <si>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</si>
  <si>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</si>
  <si>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</si>
  <si>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</si>
  <si>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</si>
  <si>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</si>
  <si>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</si>
  <si>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</si>
  <si>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</si>
  <si>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</si>
  <si>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</si>
  <si>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</si>
  <si>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</si>
  <si>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</si>
  <si>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</si>
  <si>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</si>
  <si>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</si>
  <si>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</si>
  <si>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</si>
  <si>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</si>
  <si>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</si>
  <si>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</si>
  <si>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</si>
  <si>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</si>
  <si>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</si>
  <si>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</si>
  <si>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</si>
  <si>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</si>
  <si>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</si>
  <si>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</si>
  <si>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</si>
  <si>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</si>
  <si>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</si>
  <si>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</si>
  <si>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</si>
  <si>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</si>
  <si>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</si>
  <si>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</si>
  <si>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</si>
  <si>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</si>
  <si>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</si>
  <si>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</si>
  <si>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</si>
  <si>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</si>
  <si>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</si>
  <si>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</si>
  <si>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</si>
  <si>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</si>
  <si>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</si>
  <si>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</si>
  <si>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</si>
  <si>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</si>
  <si>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</si>
  <si>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</si>
  <si>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</si>
  <si>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</si>
  <si>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</si>
  <si>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</si>
  <si>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</si>
  <si>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</si>
  <si>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</si>
  <si>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</si>
  <si>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</si>
  <si>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</si>
  <si>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</si>
  <si>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</si>
  <si>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</si>
  <si>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</si>
  <si>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</si>
  <si>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</si>
  <si>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</si>
  <si>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</si>
  <si>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</si>
  <si>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</si>
  <si>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</si>
  <si>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</si>
  <si>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</si>
  <si>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</si>
  <si>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</si>
  <si>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</si>
  <si>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</si>
  <si>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</si>
  <si>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</si>
  <si>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</si>
  <si>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</si>
  <si>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</si>
  <si>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</si>
  <si>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</si>
  <si>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</si>
  <si>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</si>
  <si>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</si>
  <si>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</si>
  <si>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</si>
  <si>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</si>
  <si>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</si>
  <si>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</si>
  <si>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</si>
  <si>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</si>
  <si>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</si>
  <si>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</si>
  <si>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</si>
  <si>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</si>
  <si>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</si>
  <si>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</si>
  <si>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</si>
  <si>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</si>
  <si>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</si>
  <si>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</si>
  <si>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</si>
  <si>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</si>
  <si>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</si>
  <si>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</si>
  <si>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</si>
  <si>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</si>
  <si>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</si>
  <si>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</si>
  <si>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</si>
  <si>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</si>
  <si>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</si>
  <si>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</si>
  <si>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</si>
  <si>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</si>
  <si>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</si>
  <si>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</si>
  <si>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</si>
  <si>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</si>
  <si>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</si>
  <si>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</si>
  <si>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</si>
  <si>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</si>
  <si>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</si>
  <si>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</si>
  <si>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</si>
  <si>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</si>
  <si>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</si>
  <si>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</si>
  <si>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</si>
  <si>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</si>
  <si>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</si>
  <si>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</si>
  <si>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</si>
  <si>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</si>
  <si>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</si>
  <si>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</si>
  <si>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</si>
  <si>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</si>
  <si>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</si>
  <si>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</si>
  <si>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</si>
  <si>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</si>
  <si>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</si>
  <si>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</si>
  <si>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</si>
  <si>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</si>
  <si>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</si>
  <si>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</si>
  <si>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</si>
  <si>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</si>
  <si>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</si>
  <si>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</si>
  <si>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</si>
  <si>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</si>
  <si>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</si>
  <si>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</si>
  <si>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</si>
  <si>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</si>
  <si>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</si>
  <si>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</si>
  <si>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</si>
  <si>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</si>
  <si>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</si>
  <si>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</si>
  <si>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</si>
  <si>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</si>
  <si>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</si>
  <si>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</si>
  <si>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</si>
  <si>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</si>
  <si>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</si>
  <si>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</si>
  <si>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</si>
  <si>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</si>
  <si>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</si>
  <si>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</si>
  <si>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</si>
  <si>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</si>
  <si>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</si>
  <si>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</si>
  <si>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</si>
  <si>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</si>
  <si>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</si>
  <si>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</si>
  <si>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</si>
  <si>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</si>
  <si>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</si>
  <si>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</si>
  <si>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</si>
  <si>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</si>
  <si>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</si>
  <si>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</si>
  <si>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</si>
  <si>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</si>
  <si>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</si>
  <si>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</si>
  <si>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</si>
  <si>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</si>
  <si>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</si>
  <si>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</si>
  <si>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</si>
  <si>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</si>
  <si>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</si>
  <si>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</si>
  <si>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</si>
  <si>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</si>
  <si>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</si>
  <si>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</si>
  <si>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</si>
  <si>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</si>
  <si>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</si>
  <si>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</si>
  <si>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</si>
  <si>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</si>
  <si>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</si>
  <si>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</si>
  <si>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</si>
  <si>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</si>
  <si>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</si>
  <si>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</si>
  <si>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</si>
  <si>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</si>
  <si>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</si>
  <si>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</si>
  <si>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</si>
  <si>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</si>
  <si>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</si>
  <si>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</si>
  <si>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</si>
  <si>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</si>
  <si>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</si>
  <si>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</si>
  <si>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</si>
  <si>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</si>
  <si>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</si>
  <si>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</si>
  <si>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</si>
  <si>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</si>
  <si>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</si>
  <si>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</si>
  <si>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</si>
  <si>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</si>
  <si>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</si>
  <si>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</si>
  <si>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</si>
  <si>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</si>
  <si>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</si>
  <si>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</si>
  <si>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</si>
  <si>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</si>
  <si>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</si>
  <si>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</si>
  <si>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</si>
  <si>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</si>
  <si>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</si>
  <si>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</si>
  <si>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</si>
  <si>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</si>
  <si>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</si>
  <si>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</si>
  <si>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</si>
  <si>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</si>
  <si>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</si>
  <si>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</si>
  <si>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</si>
  <si>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</si>
  <si>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</si>
  <si>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</si>
  <si>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</si>
  <si>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</si>
  <si>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</si>
  <si>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</si>
  <si>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</si>
  <si>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</si>
  <si>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</si>
  <si>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</si>
  <si>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</si>
  <si>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</si>
  <si>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</si>
  <si>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</si>
  <si>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</si>
  <si>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</si>
  <si>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</si>
  <si>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</si>
  <si>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</si>
  <si>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</si>
  <si>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</si>
  <si>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</si>
  <si>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</si>
  <si>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</si>
  <si>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</si>
  <si>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</si>
  <si>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</si>
  <si>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</si>
  <si>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</si>
  <si>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</si>
  <si>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</si>
  <si>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</si>
  <si>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</si>
  <si>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</si>
  <si>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</si>
  <si>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</si>
  <si>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</si>
  <si>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</si>
  <si>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</si>
  <si>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</si>
  <si>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</si>
  <si>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</si>
  <si>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</si>
  <si>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</si>
  <si>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</si>
  <si>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</si>
  <si>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</si>
  <si>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</si>
  <si>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</si>
  <si>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</si>
  <si>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</si>
  <si>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</si>
  <si>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</si>
  <si>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</si>
  <si>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</si>
  <si>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</si>
  <si>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</si>
  <si>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</si>
  <si>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</si>
  <si>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</si>
  <si>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</si>
  <si>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</si>
  <si>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</si>
  <si>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</si>
  <si>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</si>
  <si>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</si>
  <si>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</si>
  <si>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</si>
  <si>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</si>
  <si>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</si>
  <si>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</si>
  <si>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</si>
  <si>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</si>
  <si>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</si>
  <si>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</si>
  <si>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</si>
  <si>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</si>
  <si>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</si>
  <si>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</si>
  <si>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</si>
  <si>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</si>
  <si>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</si>
  <si>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</si>
  <si>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</si>
  <si>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</si>
  <si>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</si>
  <si>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</si>
  <si>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</si>
  <si>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</si>
  <si>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</si>
  <si>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</si>
  <si>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</si>
  <si>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</si>
  <si>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</si>
  <si>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</si>
  <si>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</si>
  <si>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</si>
  <si>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</si>
  <si>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</si>
  <si>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</si>
  <si>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</si>
  <si>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</si>
  <si>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</si>
  <si>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</si>
  <si>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</si>
  <si>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</si>
  <si>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</si>
  <si>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</si>
  <si>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</si>
  <si>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</si>
  <si>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Charges de gestion courante</t>
  </si>
  <si>
    <t>Produits de gestion courante</t>
  </si>
  <si>
    <t>Crédit de TVA</t>
  </si>
  <si>
    <t>Déclaration CA3</t>
  </si>
  <si>
    <t>Octobre</t>
  </si>
  <si>
    <t>Novembre</t>
  </si>
  <si>
    <t>Décembre</t>
  </si>
  <si>
    <t>TVA déductible :</t>
  </si>
  <si>
    <t xml:space="preserve"> - sur autres biens et services</t>
  </si>
  <si>
    <t xml:space="preserve"> - sur immobilisations</t>
  </si>
  <si>
    <t xml:space="preserve"> - crédit TVA du mois précédent </t>
  </si>
  <si>
    <t>TVA déductible</t>
  </si>
  <si>
    <t>TVA due au titre du mois</t>
  </si>
  <si>
    <t>Crédit de TVA du mois</t>
  </si>
  <si>
    <t xml:space="preserve">TVA à décaisser le 20 du mois </t>
  </si>
  <si>
    <t>Bordereau de saisie - SARL "PROVENCE"</t>
  </si>
  <si>
    <t>Constatation TVA Octobre</t>
  </si>
  <si>
    <t>Paiement TVA Septembre</t>
  </si>
  <si>
    <t>Paiement TVA Octobre</t>
  </si>
  <si>
    <t>Constatation TVA Novembre</t>
  </si>
  <si>
    <t>Constatation TVA Décembre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</si>
</sst>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</cellStyleXfs>
  <cellXfs count="214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horizontal="center" vertical="center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4" fontId="14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4" fontId="6" fillId="0" borderId="35" xfId="5" applyNumberFormat="1" applyFont="1" applyBorder="1"/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4" fontId="6" fillId="0" borderId="17" xfId="5" applyNumberFormat="1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7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42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" borderId="2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0" fontId="6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4" fontId="12" fillId="4" borderId="6" xfId="0" applyNumberFormat="1" applyFont="1" applyFill="1" applyBorder="1" applyAlignment="1" applyProtection="1">
      <alignment horizontal="center" vertical="center"/>
    </xf>
    <xf numFmtId="0" fontId="7" fillId="18" borderId="11" xfId="0" applyFont="1" applyFill="1" applyBorder="1" applyAlignment="1" applyProtection="1">
      <alignment vertical="center"/>
    </xf>
    <xf numFmtId="0" fontId="7" fillId="18" borderId="11" xfId="0" applyFont="1" applyFill="1" applyBorder="1" applyAlignment="1" applyProtection="1">
      <alignment horizontal="left" vertical="center"/>
    </xf>
    <xf numFmtId="165" fontId="12" fillId="0" borderId="6" xfId="4" applyNumberFormat="1" applyFont="1" applyFill="1" applyBorder="1" applyAlignment="1" applyProtection="1">
      <alignment vertical="center"/>
    </xf>
    <xf numFmtId="165" fontId="6" fillId="0" borderId="31" xfId="0" applyNumberFormat="1" applyFont="1" applyFill="1" applyBorder="1" applyAlignment="1" applyProtection="1">
      <alignment horizontal="right" vertical="center"/>
    </xf>
    <xf numFmtId="165" fontId="11" fillId="0" borderId="32" xfId="4" applyNumberFormat="1" applyFont="1" applyFill="1" applyBorder="1" applyAlignment="1" applyProtection="1">
      <alignment horizontal="right" vertical="center"/>
    </xf>
    <xf numFmtId="165" fontId="11" fillId="0" borderId="32" xfId="4" applyNumberFormat="1" applyFont="1" applyFill="1" applyBorder="1" applyAlignment="1" applyProtection="1">
      <alignment horizontal="right" vertical="center" wrapText="1"/>
    </xf>
    <xf numFmtId="165" fontId="11" fillId="0" borderId="18" xfId="4" applyNumberFormat="1" applyFont="1" applyFill="1" applyBorder="1" applyAlignment="1" applyProtection="1">
      <alignment horizontal="right" vertical="center"/>
    </xf>
    <xf numFmtId="0" fontId="8" fillId="3" borderId="43" xfId="0" applyFont="1" applyFill="1" applyBorder="1" applyAlignment="1" applyProtection="1">
      <alignment vertical="center"/>
    </xf>
    <xf numFmtId="0" fontId="8" fillId="3" borderId="44" xfId="0" applyFont="1" applyFill="1" applyBorder="1" applyAlignment="1" applyProtection="1">
      <alignment vertical="center"/>
    </xf>
    <xf numFmtId="0" fontId="8" fillId="19" borderId="11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5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4" fillId="0" borderId="32" xfId="0" applyNumberFormat="1" applyFont="1" applyFill="1" applyBorder="1" applyAlignment="1" applyProtection="1">
      <alignment vertical="center" wrapText="1"/>
    </xf>
    <xf numFmtId="4" fontId="13" fillId="0" borderId="32" xfId="0" applyNumberFormat="1" applyFont="1" applyFill="1" applyBorder="1" applyAlignment="1" applyProtection="1">
      <alignment vertical="center" wrapText="1"/>
    </xf>
    <xf numFmtId="4" fontId="13" fillId="0" borderId="33" xfId="0" applyNumberFormat="1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horizontal="center" vertical="center"/>
    </xf>
    <xf numFmtId="4" fontId="7" fillId="0" borderId="9" xfId="0" applyNumberFormat="1" applyFont="1" applyFill="1" applyBorder="1" applyAlignment="1" applyProtection="1">
      <alignment vertical="center" wrapText="1"/>
    </xf>
    <xf numFmtId="4" fontId="13" fillId="0" borderId="18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3" borderId="9" xfId="5" applyFont="1" applyFill="1" applyBorder="1" applyAlignment="1">
      <alignment horizontal="center"/>
    </xf>
    <xf numFmtId="4" fontId="7" fillId="0" borderId="29" xfId="5" applyNumberFormat="1" applyFont="1" applyBorder="1"/>
    <xf numFmtId="0" fontId="6" fillId="0" borderId="17" xfId="0" applyFont="1" applyBorder="1"/>
    <xf numFmtId="165" fontId="8" fillId="0" borderId="43" xfId="0" applyNumberFormat="1" applyFont="1" applyFill="1" applyBorder="1" applyAlignment="1" applyProtection="1">
      <alignment horizontal="right" vertical="center"/>
    </xf>
    <xf numFmtId="165" fontId="8" fillId="0" borderId="44" xfId="0" applyNumberFormat="1" applyFont="1" applyFill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vertical="center"/>
    </xf>
    <xf numFmtId="14" fontId="6" fillId="0" borderId="46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Font="1" applyFill="1" applyBorder="1" applyAlignment="1" applyProtection="1">
      <alignment horizontal="center" vertical="top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6" fillId="0" borderId="45" xfId="0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vertical="center"/>
      <protection locked="0"/>
    </xf>
  </cellXfs>
  <cellStyles count="6">
    <cellStyle name="Euro" xfId="4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E11"/>
  <sheetViews>
    <sheetView showGridLines="0" tabSelected="1" workbookViewId="0">
      <selection activeCell="B2" sqref="B2"/>
    </sheetView>
  </sheetViews>
  <sheetFormatPr baseColWidth="10" defaultRowHeight="15.75"/>
  <cols>
    <col min="1" max="1" width="3.7109375" style="102" customWidth="1"/>
    <col min="2" max="2" width="35.7109375" style="102" customWidth="1"/>
    <col min="3" max="3" width="15.7109375" style="103" customWidth="1"/>
    <col min="4" max="5" width="15.7109375" style="102" customWidth="1"/>
    <col min="6" max="16384" width="11.42578125" style="102"/>
  </cols>
  <sheetData>
    <row r="1" spans="2:5" ht="16.5" thickBot="1"/>
    <row r="2" spans="2:5" s="101" customFormat="1" ht="16.5" thickBot="1">
      <c r="B2" s="134" t="s">
        <v>840</v>
      </c>
      <c r="C2" s="173" t="s">
        <v>841</v>
      </c>
      <c r="D2" s="173" t="s">
        <v>842</v>
      </c>
      <c r="E2" s="173" t="s">
        <v>843</v>
      </c>
    </row>
    <row r="3" spans="2:5" ht="16.5" thickBot="1">
      <c r="B3" s="174" t="s">
        <v>364</v>
      </c>
      <c r="C3" s="176">
        <v>23520</v>
      </c>
      <c r="D3" s="176">
        <v>29400</v>
      </c>
      <c r="E3" s="176">
        <v>35280</v>
      </c>
    </row>
    <row r="4" spans="2:5">
      <c r="B4" s="171" t="s">
        <v>844</v>
      </c>
      <c r="C4" s="177"/>
      <c r="D4" s="178"/>
      <c r="E4" s="178"/>
    </row>
    <row r="5" spans="2:5">
      <c r="B5" s="172" t="s">
        <v>845</v>
      </c>
      <c r="C5" s="178">
        <v>16072</v>
      </c>
      <c r="D5" s="179">
        <v>26852</v>
      </c>
      <c r="E5" s="180">
        <v>22148</v>
      </c>
    </row>
    <row r="6" spans="2:5">
      <c r="B6" s="172" t="s">
        <v>846</v>
      </c>
      <c r="C6" s="178">
        <v>1960</v>
      </c>
      <c r="D6" s="179">
        <v>2940</v>
      </c>
      <c r="E6" s="180"/>
    </row>
    <row r="7" spans="2:5" ht="16.5" thickBot="1">
      <c r="B7" s="172" t="s">
        <v>847</v>
      </c>
      <c r="C7" s="178"/>
      <c r="D7" s="179" t="str">
        <f>IF(C10="","",C10)</f>
        <v/>
      </c>
      <c r="E7" s="179">
        <f>IF(D10="","",D10)</f>
        <v>392</v>
      </c>
    </row>
    <row r="8" spans="2:5" ht="16.5" thickBot="1">
      <c r="B8" s="175" t="s">
        <v>848</v>
      </c>
      <c r="C8" s="176">
        <f>SUM(C4:C7)</f>
        <v>18032</v>
      </c>
      <c r="D8" s="176">
        <f t="shared" ref="D8:E8" si="0">SUM(D4:D7)</f>
        <v>29792</v>
      </c>
      <c r="E8" s="176">
        <f t="shared" si="0"/>
        <v>22540</v>
      </c>
    </row>
    <row r="9" spans="2:5">
      <c r="B9" s="181" t="s">
        <v>849</v>
      </c>
      <c r="C9" s="201">
        <f>IF(C3&gt;C8,C3-C8,"")</f>
        <v>5488</v>
      </c>
      <c r="D9" s="201" t="str">
        <f t="shared" ref="D9:E9" si="1">IF(D3&gt;D8,D3-D8,"")</f>
        <v/>
      </c>
      <c r="E9" s="201">
        <f t="shared" si="1"/>
        <v>12740</v>
      </c>
    </row>
    <row r="10" spans="2:5" ht="16.5" thickBot="1">
      <c r="B10" s="182" t="s">
        <v>850</v>
      </c>
      <c r="C10" s="202" t="str">
        <f>IF(C8&gt;C3,C8-C3,"")</f>
        <v/>
      </c>
      <c r="D10" s="202">
        <f t="shared" ref="D10:E10" si="2">IF(D8&gt;D3,D8-D3,"")</f>
        <v>392</v>
      </c>
      <c r="E10" s="202" t="str">
        <f t="shared" si="2"/>
        <v/>
      </c>
    </row>
    <row r="11" spans="2:5" ht="16.5" thickBot="1">
      <c r="B11" s="183" t="s">
        <v>851</v>
      </c>
      <c r="C11" s="203">
        <v>5360</v>
      </c>
      <c r="D11" s="204">
        <f>C9</f>
        <v>5488</v>
      </c>
      <c r="E11" s="204" t="str">
        <f>D9</f>
        <v/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42" t="s">
        <v>852</v>
      </c>
      <c r="C2" s="143"/>
      <c r="D2" s="143"/>
      <c r="E2" s="143"/>
      <c r="F2" s="143"/>
      <c r="G2" s="144"/>
    </row>
    <row r="3" spans="2:7">
      <c r="B3" s="63" t="s">
        <v>812</v>
      </c>
      <c r="C3" s="64" t="s">
        <v>813</v>
      </c>
      <c r="D3" s="64" t="s">
        <v>814</v>
      </c>
      <c r="E3" s="64" t="s">
        <v>818</v>
      </c>
      <c r="F3" s="93" t="s">
        <v>815</v>
      </c>
      <c r="G3" s="65" t="s">
        <v>816</v>
      </c>
    </row>
    <row r="4" spans="2:7" s="209" customFormat="1" ht="15.75" customHeight="1">
      <c r="B4" s="205">
        <v>40806</v>
      </c>
      <c r="C4" s="206">
        <v>44551</v>
      </c>
      <c r="D4" s="185" t="str">
        <f t="shared" ref="D4" si="0">IF(C4="","",VLOOKUP(C4,Comptes,2,FALSE))</f>
        <v>TVA à décaisser</v>
      </c>
      <c r="E4" s="145" t="s">
        <v>854</v>
      </c>
      <c r="F4" s="207">
        <v>5360</v>
      </c>
      <c r="G4" s="208"/>
    </row>
    <row r="5" spans="2:7" s="209" customFormat="1">
      <c r="B5" s="191"/>
      <c r="C5" s="210">
        <v>512</v>
      </c>
      <c r="D5" s="186" t="str">
        <f t="shared" ref="D5:D6" si="1">IF(C5="","",VLOOKUP(C5,Comptes,2,FALSE))</f>
        <v>Banques</v>
      </c>
      <c r="E5" s="184"/>
      <c r="F5" s="211"/>
      <c r="G5" s="208">
        <v>5360</v>
      </c>
    </row>
    <row r="6" spans="2:7" s="209" customFormat="1">
      <c r="B6" s="205">
        <v>40847</v>
      </c>
      <c r="C6" s="206">
        <v>44571</v>
      </c>
      <c r="D6" s="185" t="str">
        <f t="shared" si="1"/>
        <v>TVA collectée</v>
      </c>
      <c r="E6" s="145" t="s">
        <v>853</v>
      </c>
      <c r="F6" s="211">
        <v>23520</v>
      </c>
      <c r="G6" s="208"/>
    </row>
    <row r="7" spans="2:7" s="209" customFormat="1">
      <c r="B7" s="66"/>
      <c r="C7" s="212">
        <v>44551</v>
      </c>
      <c r="D7" s="67" t="str">
        <f t="shared" ref="D7:D12" si="2">IF(C7="","",VLOOKUP(C7,Comptes,2,FALSE))</f>
        <v>TVA à décaisser</v>
      </c>
      <c r="E7" s="146"/>
      <c r="F7" s="211"/>
      <c r="G7" s="208">
        <v>5488</v>
      </c>
    </row>
    <row r="8" spans="2:7" s="209" customFormat="1">
      <c r="B8" s="66"/>
      <c r="C8" s="212">
        <v>44562</v>
      </c>
      <c r="D8" s="67" t="str">
        <f t="shared" si="2"/>
        <v>TVA sur immobilisations</v>
      </c>
      <c r="E8" s="146"/>
      <c r="F8" s="211"/>
      <c r="G8" s="208">
        <v>1960</v>
      </c>
    </row>
    <row r="9" spans="2:7" s="209" customFormat="1">
      <c r="B9" s="191"/>
      <c r="C9" s="210">
        <v>44566</v>
      </c>
      <c r="D9" s="186" t="str">
        <f t="shared" si="2"/>
        <v>TVA sur autres biens et services</v>
      </c>
      <c r="E9" s="184"/>
      <c r="F9" s="211"/>
      <c r="G9" s="208">
        <v>16072</v>
      </c>
    </row>
    <row r="10" spans="2:7" s="209" customFormat="1">
      <c r="B10" s="205">
        <v>40867</v>
      </c>
      <c r="C10" s="206">
        <v>44551</v>
      </c>
      <c r="D10" s="185" t="str">
        <f t="shared" si="2"/>
        <v>TVA à décaisser</v>
      </c>
      <c r="E10" s="145" t="s">
        <v>855</v>
      </c>
      <c r="F10" s="211">
        <v>5488</v>
      </c>
      <c r="G10" s="208"/>
    </row>
    <row r="11" spans="2:7" s="209" customFormat="1">
      <c r="B11" s="191"/>
      <c r="C11" s="210">
        <v>512</v>
      </c>
      <c r="D11" s="186" t="str">
        <f t="shared" si="2"/>
        <v>Banques</v>
      </c>
      <c r="E11" s="184"/>
      <c r="F11" s="211"/>
      <c r="G11" s="208">
        <v>5488</v>
      </c>
    </row>
    <row r="12" spans="2:7" s="209" customFormat="1">
      <c r="B12" s="205">
        <v>40877</v>
      </c>
      <c r="C12" s="206">
        <v>44571</v>
      </c>
      <c r="D12" s="185" t="str">
        <f t="shared" si="2"/>
        <v>TVA collectée</v>
      </c>
      <c r="E12" s="145" t="s">
        <v>856</v>
      </c>
      <c r="F12" s="211">
        <v>29400</v>
      </c>
      <c r="G12" s="208"/>
    </row>
    <row r="13" spans="2:7" s="209" customFormat="1">
      <c r="B13" s="66"/>
      <c r="C13" s="212">
        <v>44567</v>
      </c>
      <c r="D13" s="67" t="str">
        <f t="shared" ref="D13:D16" si="3">IF(C13="","",VLOOKUP(C13,Comptes,2,FALSE))</f>
        <v>Crédit de TVA à reporter</v>
      </c>
      <c r="E13" s="146"/>
      <c r="F13" s="211">
        <v>392</v>
      </c>
      <c r="G13" s="208"/>
    </row>
    <row r="14" spans="2:7" s="209" customFormat="1">
      <c r="B14" s="66"/>
      <c r="C14" s="212">
        <v>44562</v>
      </c>
      <c r="D14" s="67" t="str">
        <f t="shared" si="3"/>
        <v>TVA sur immobilisations</v>
      </c>
      <c r="E14" s="146"/>
      <c r="F14" s="211"/>
      <c r="G14" s="208">
        <v>2940</v>
      </c>
    </row>
    <row r="15" spans="2:7" s="209" customFormat="1">
      <c r="B15" s="191"/>
      <c r="C15" s="210">
        <v>44566</v>
      </c>
      <c r="D15" s="186" t="str">
        <f t="shared" si="3"/>
        <v>TVA sur autres biens et services</v>
      </c>
      <c r="E15" s="184"/>
      <c r="F15" s="211"/>
      <c r="G15" s="208">
        <v>26852</v>
      </c>
    </row>
    <row r="16" spans="2:7" s="209" customFormat="1">
      <c r="B16" s="205">
        <v>40908</v>
      </c>
      <c r="C16" s="206">
        <v>44571</v>
      </c>
      <c r="D16" s="185" t="str">
        <f t="shared" si="3"/>
        <v>TVA collectée</v>
      </c>
      <c r="E16" s="145" t="s">
        <v>857</v>
      </c>
      <c r="F16" s="211">
        <v>35280</v>
      </c>
      <c r="G16" s="208"/>
    </row>
    <row r="17" spans="2:7" s="209" customFormat="1">
      <c r="B17" s="66"/>
      <c r="C17" s="212">
        <v>44551</v>
      </c>
      <c r="D17" s="67" t="str">
        <f t="shared" ref="D17:D19" si="4">IF(C17="","",VLOOKUP(C17,Comptes,2,FALSE))</f>
        <v>TVA à décaisser</v>
      </c>
      <c r="E17" s="146"/>
      <c r="F17" s="211"/>
      <c r="G17" s="208">
        <v>12740</v>
      </c>
    </row>
    <row r="18" spans="2:7" s="209" customFormat="1">
      <c r="B18" s="66"/>
      <c r="C18" s="212">
        <v>44566</v>
      </c>
      <c r="D18" s="67" t="str">
        <f t="shared" si="4"/>
        <v>TVA sur autres biens et services</v>
      </c>
      <c r="E18" s="146"/>
      <c r="F18" s="211"/>
      <c r="G18" s="208">
        <v>22148</v>
      </c>
    </row>
    <row r="19" spans="2:7" s="209" customFormat="1">
      <c r="B19" s="191"/>
      <c r="C19" s="210">
        <v>44567</v>
      </c>
      <c r="D19" s="186" t="str">
        <f t="shared" si="4"/>
        <v>Crédit de TVA à reporter</v>
      </c>
      <c r="E19" s="184"/>
      <c r="F19" s="213"/>
      <c r="G19" s="208">
        <v>392</v>
      </c>
    </row>
    <row r="20" spans="2:7" ht="16.5" thickBot="1">
      <c r="B20" s="135" t="s">
        <v>817</v>
      </c>
      <c r="C20" s="136"/>
      <c r="D20" s="137"/>
      <c r="E20" s="133"/>
      <c r="F20" s="94">
        <f>SUM(F4:F19)</f>
        <v>99440</v>
      </c>
      <c r="G20" s="68">
        <f>SUM(G4:G19)</f>
        <v>99440</v>
      </c>
    </row>
    <row r="21" spans="2:7" ht="16.5" thickBot="1">
      <c r="B21" s="138" t="s">
        <v>819</v>
      </c>
      <c r="C21" s="139"/>
      <c r="D21" s="139"/>
      <c r="E21" s="139"/>
      <c r="F21" s="140" t="str">
        <f>IF(F20=G20,"Ecriture équilibrée","Ecriture non équilibrée")</f>
        <v>Ecriture équilibrée</v>
      </c>
      <c r="G21" s="141"/>
    </row>
  </sheetData>
  <sheetProtection sheet="1" objects="1" scenarios="1"/>
  <mergeCells count="9">
    <mergeCell ref="B20:D20"/>
    <mergeCell ref="B21:E21"/>
    <mergeCell ref="F21:G21"/>
    <mergeCell ref="B2:G2"/>
    <mergeCell ref="E4:E5"/>
    <mergeCell ref="E6:E9"/>
    <mergeCell ref="E10:E11"/>
    <mergeCell ref="E12:E15"/>
    <mergeCell ref="E16:E19"/>
  </mergeCells>
  <conditionalFormatting sqref="F21:G2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4 B6 B10 B12 B16">
      <formula1>40544</formula1>
      <formula2>40908</formula2>
    </dataValidation>
    <dataValidation allowBlank="1" showInputMessage="1" showErrorMessage="1" prompt="Saisissez un numéro de compte !" sqref="C4:C19"/>
    <dataValidation allowBlank="1" showInputMessage="1" showErrorMessage="1" prompt="Saisissez le montant à débiter !" sqref="F4:F19"/>
    <dataValidation allowBlank="1" showInputMessage="1" showErrorMessage="1" prompt="Saisissez le montant à créditer !" sqref="G4:G1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7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55" t="s">
        <v>822</v>
      </c>
      <c r="C2" s="156"/>
      <c r="D2" s="156"/>
      <c r="E2" s="156"/>
      <c r="F2" s="156"/>
      <c r="G2" s="156"/>
      <c r="H2" s="157"/>
    </row>
    <row r="3" spans="2:8" ht="16.5" thickBot="1">
      <c r="B3" s="70"/>
      <c r="C3" s="71"/>
      <c r="D3" s="71"/>
      <c r="E3" s="71"/>
      <c r="F3" s="71"/>
      <c r="G3" s="71"/>
      <c r="H3" s="72"/>
    </row>
    <row r="4" spans="2:8" s="5" customFormat="1" ht="16.5" thickBot="1">
      <c r="B4" s="73"/>
      <c r="C4" s="149" t="s">
        <v>820</v>
      </c>
      <c r="D4" s="150"/>
      <c r="E4" s="74"/>
      <c r="F4" s="151" t="s">
        <v>821</v>
      </c>
      <c r="G4" s="152"/>
      <c r="H4" s="75"/>
    </row>
    <row r="5" spans="2:8" ht="16.5" thickBot="1">
      <c r="B5" s="76"/>
      <c r="C5" s="77"/>
      <c r="D5" s="77"/>
      <c r="E5" s="77"/>
      <c r="F5" s="77"/>
      <c r="G5" s="77"/>
      <c r="H5" s="78"/>
    </row>
    <row r="6" spans="2:8">
      <c r="B6" s="76"/>
      <c r="C6" s="153">
        <v>44562</v>
      </c>
      <c r="D6" s="154"/>
      <c r="E6" s="77"/>
      <c r="F6" s="153">
        <v>44551</v>
      </c>
      <c r="G6" s="154"/>
      <c r="H6" s="78"/>
    </row>
    <row r="7" spans="2:8" ht="16.5" customHeight="1" thickBot="1">
      <c r="B7" s="76"/>
      <c r="C7" s="147" t="str">
        <f>IF(C6="","",VLOOKUP(C6,Comptes,2,FALSE))</f>
        <v>TVA sur immobilisations</v>
      </c>
      <c r="D7" s="148"/>
      <c r="E7" s="77"/>
      <c r="F7" s="194" t="str">
        <f>IF(F6="","",VLOOKUP(F6,Comptes,2,FALSE))</f>
        <v>TVA à décaisser</v>
      </c>
      <c r="G7" s="148"/>
      <c r="H7" s="78"/>
    </row>
    <row r="8" spans="2:8">
      <c r="B8" s="76"/>
      <c r="C8" s="69">
        <f>'CA3 - Tableau préparatoire'!C6</f>
        <v>1960</v>
      </c>
      <c r="D8" s="105">
        <f>IF(C6="","",VLOOKUP(C6,Journal!C6:G9,5,FALSE))</f>
        <v>1960</v>
      </c>
      <c r="E8" s="77"/>
      <c r="F8" s="104">
        <f>IF(F6="","",VLOOKUP(F6,Journal!C4:G5,4,FALSE))</f>
        <v>5360</v>
      </c>
      <c r="G8" s="192">
        <f>'CA3 - Tableau préparatoire'!C11</f>
        <v>5360</v>
      </c>
      <c r="H8" s="78"/>
    </row>
    <row r="9" spans="2:8">
      <c r="B9" s="76"/>
      <c r="C9" s="187">
        <f>'CA3 - Tableau préparatoire'!D6</f>
        <v>2940</v>
      </c>
      <c r="D9" s="188">
        <f>IF(C6="","",VLOOKUP(C6,Journal!C12:G15,5,FALSE))</f>
        <v>2940</v>
      </c>
      <c r="E9" s="77"/>
      <c r="F9" s="189">
        <f>IF(F6="","",VLOOKUP(F6,Journal!C10:G11,4,FALSE))</f>
        <v>5488</v>
      </c>
      <c r="G9" s="193">
        <f>IF(F6="","",VLOOKUP(F6,Journal!C6:G9,5,FALSE))</f>
        <v>5488</v>
      </c>
      <c r="H9" s="78"/>
    </row>
    <row r="10" spans="2:8" ht="16.5" thickBot="1">
      <c r="B10" s="76"/>
      <c r="C10" s="95"/>
      <c r="D10" s="106"/>
      <c r="E10" s="77"/>
      <c r="F10" s="95"/>
      <c r="G10" s="193">
        <f>IF(F6="","",VLOOKUP(F6,Journal!C16:G19,5,FALSE))</f>
        <v>12740</v>
      </c>
      <c r="H10" s="78"/>
    </row>
    <row r="11" spans="2:8" ht="16.5" thickBot="1">
      <c r="B11" s="76"/>
      <c r="C11" s="96">
        <f>SUM(C8:C10)</f>
        <v>4900</v>
      </c>
      <c r="D11" s="96">
        <f>SUM(D8:D10)</f>
        <v>4900</v>
      </c>
      <c r="E11" s="77"/>
      <c r="F11" s="95">
        <f>SUM(F8:F10)</f>
        <v>10848</v>
      </c>
      <c r="G11" s="96">
        <f>SUM(G8:G10)</f>
        <v>23588</v>
      </c>
      <c r="H11" s="78"/>
    </row>
    <row r="12" spans="2:8" ht="16.5" thickBot="1">
      <c r="B12" s="76"/>
      <c r="C12" s="97" t="str">
        <f>IF(C11&gt;=D11,"SD =","SC =")</f>
        <v>SD =</v>
      </c>
      <c r="D12" s="98">
        <f>IF(C11&gt;D11,C11-D11,D11-C11)</f>
        <v>0</v>
      </c>
      <c r="E12" s="77"/>
      <c r="F12" s="97" t="str">
        <f>IF(F11&gt;G11,"SD =","SC =")</f>
        <v>SC =</v>
      </c>
      <c r="G12" s="98">
        <f>IF(F11&gt;G11,F11-G11,G11-F11)</f>
        <v>12740</v>
      </c>
      <c r="H12" s="78"/>
    </row>
    <row r="13" spans="2:8" ht="16.5" thickBot="1">
      <c r="B13" s="76"/>
      <c r="C13" s="99"/>
      <c r="D13" s="100"/>
      <c r="E13" s="77"/>
      <c r="F13" s="99"/>
      <c r="G13" s="100"/>
      <c r="H13" s="78"/>
    </row>
    <row r="14" spans="2:8">
      <c r="B14" s="76"/>
      <c r="C14" s="153">
        <v>44566</v>
      </c>
      <c r="D14" s="154"/>
      <c r="E14" s="77"/>
      <c r="F14" s="153">
        <v>44571</v>
      </c>
      <c r="G14" s="154"/>
      <c r="H14" s="78"/>
    </row>
    <row r="15" spans="2:8" ht="16.5" thickBot="1">
      <c r="B15" s="76"/>
      <c r="C15" s="147" t="str">
        <f>IF(C14="","",VLOOKUP(C14,Comptes,2,FALSE))</f>
        <v>TVA sur autres biens et services</v>
      </c>
      <c r="D15" s="148"/>
      <c r="E15" s="77"/>
      <c r="F15" s="147" t="str">
        <f>IF(F14="","",VLOOKUP(F14,Comptes,2,FALSE))</f>
        <v>TVA collectée</v>
      </c>
      <c r="G15" s="148"/>
      <c r="H15" s="78"/>
    </row>
    <row r="16" spans="2:8">
      <c r="B16" s="76"/>
      <c r="C16" s="69">
        <f>'CA3 - Tableau préparatoire'!C5</f>
        <v>16072</v>
      </c>
      <c r="D16" s="105">
        <f>IF(C14="","",VLOOKUP(C14,Journal!C6:G9,5,FALSE))</f>
        <v>16072</v>
      </c>
      <c r="E16" s="77"/>
      <c r="F16" s="104">
        <f>IF(F14="","",VLOOKUP(F14,Journal!C6:G9,4,FALSE))</f>
        <v>23520</v>
      </c>
      <c r="G16" s="69">
        <f>'CA3 - Tableau préparatoire'!C3</f>
        <v>23520</v>
      </c>
      <c r="H16" s="78"/>
    </row>
    <row r="17" spans="2:8">
      <c r="B17" s="76"/>
      <c r="C17" s="187">
        <f>'CA3 - Tableau préparatoire'!D5</f>
        <v>26852</v>
      </c>
      <c r="D17" s="188">
        <f>IF(C14="","",VLOOKUP(C14,Journal!C12:G15,5,FALSE))</f>
        <v>26852</v>
      </c>
      <c r="E17" s="77"/>
      <c r="F17" s="189">
        <f>IF(F14="","",VLOOKUP(F14,Journal!C12:G15,4,FALSE))</f>
        <v>29400</v>
      </c>
      <c r="G17" s="187">
        <f>'CA3 - Tableau préparatoire'!D3</f>
        <v>29400</v>
      </c>
      <c r="H17" s="78"/>
    </row>
    <row r="18" spans="2:8" ht="16.5" thickBot="1">
      <c r="B18" s="76"/>
      <c r="C18" s="95">
        <f>'CA3 - Tableau préparatoire'!E5</f>
        <v>22148</v>
      </c>
      <c r="D18" s="106">
        <f>IF(C14="","",VLOOKUP(C14,Journal!C16:G19,5,FALSE))</f>
        <v>22148</v>
      </c>
      <c r="E18" s="77"/>
      <c r="F18" s="190">
        <f>IF(F14="","",VLOOKUP(F14,Journal!C16:G19,4,FALSE))</f>
        <v>35280</v>
      </c>
      <c r="G18" s="95">
        <f>'CA3 - Tableau préparatoire'!E3</f>
        <v>35280</v>
      </c>
      <c r="H18" s="78"/>
    </row>
    <row r="19" spans="2:8" ht="16.5" thickBot="1">
      <c r="B19" s="76"/>
      <c r="C19" s="96">
        <f>SUM(C16:C18)</f>
        <v>65072</v>
      </c>
      <c r="D19" s="96">
        <f>SUM(D16:D18)</f>
        <v>65072</v>
      </c>
      <c r="E19" s="77"/>
      <c r="F19" s="96">
        <f>SUM(F16:F18)</f>
        <v>88200</v>
      </c>
      <c r="G19" s="96">
        <f>SUM(G16:G18)</f>
        <v>88200</v>
      </c>
      <c r="H19" s="78"/>
    </row>
    <row r="20" spans="2:8" ht="16.5" thickBot="1">
      <c r="B20" s="76"/>
      <c r="C20" s="97" t="str">
        <f>IF(C19&gt;=D19,"SD =","SC =")</f>
        <v>SD =</v>
      </c>
      <c r="D20" s="98">
        <f>IF(C19&gt;D19,C19-D19,D19-C19)</f>
        <v>0</v>
      </c>
      <c r="E20" s="77"/>
      <c r="F20" s="97" t="str">
        <f>IF(F19&gt;G19,"SD =","SC =")</f>
        <v>SC =</v>
      </c>
      <c r="G20" s="98">
        <f>IF(F19&gt;G19,F19-G19,G19-F19)</f>
        <v>0</v>
      </c>
      <c r="H20" s="78"/>
    </row>
    <row r="21" spans="2:8" ht="16.5" thickBot="1">
      <c r="B21" s="76"/>
      <c r="C21" s="99"/>
      <c r="D21" s="100"/>
      <c r="E21" s="77"/>
      <c r="F21" s="99"/>
      <c r="G21" s="100"/>
      <c r="H21" s="78"/>
    </row>
    <row r="22" spans="2:8">
      <c r="B22" s="76"/>
      <c r="C22" s="153">
        <v>44567</v>
      </c>
      <c r="D22" s="154"/>
      <c r="E22" s="77"/>
      <c r="F22" s="99"/>
      <c r="G22" s="100"/>
      <c r="H22" s="78"/>
    </row>
    <row r="23" spans="2:8" ht="16.5" thickBot="1">
      <c r="B23" s="76"/>
      <c r="C23" s="147" t="str">
        <f>IF(C22="","",VLOOKUP(C22,Comptes,2,FALSE))</f>
        <v>Crédit de TVA à reporter</v>
      </c>
      <c r="D23" s="148"/>
      <c r="E23" s="77"/>
      <c r="F23" s="99"/>
      <c r="G23" s="100"/>
      <c r="H23" s="78"/>
    </row>
    <row r="24" spans="2:8">
      <c r="B24" s="76"/>
      <c r="C24" s="105">
        <f>IF(C22="","",VLOOKUP(C22,Journal!C12:G15,4,FALSE))</f>
        <v>392</v>
      </c>
      <c r="D24" s="105">
        <f>IF(C22="","",VLOOKUP(C22,Journal!C16:G19,5,FALSE))</f>
        <v>392</v>
      </c>
      <c r="E24" s="77"/>
      <c r="F24" s="99"/>
      <c r="G24" s="100"/>
      <c r="H24" s="78"/>
    </row>
    <row r="25" spans="2:8">
      <c r="B25" s="76"/>
      <c r="C25" s="187"/>
      <c r="D25" s="188"/>
      <c r="E25" s="77"/>
      <c r="F25" s="99"/>
      <c r="G25" s="100"/>
      <c r="H25" s="78"/>
    </row>
    <row r="26" spans="2:8" ht="16.5" thickBot="1">
      <c r="B26" s="76"/>
      <c r="C26" s="106"/>
      <c r="D26" s="95"/>
      <c r="E26" s="77"/>
      <c r="F26" s="99"/>
      <c r="G26" s="100"/>
      <c r="H26" s="78"/>
    </row>
    <row r="27" spans="2:8" ht="16.5" thickBot="1">
      <c r="B27" s="76"/>
      <c r="C27" s="96">
        <f>SUM(C24:C26)</f>
        <v>392</v>
      </c>
      <c r="D27" s="96">
        <f>SUM(D24:D26)</f>
        <v>392</v>
      </c>
      <c r="E27" s="77"/>
      <c r="F27" s="99"/>
      <c r="G27" s="100"/>
      <c r="H27" s="78"/>
    </row>
    <row r="28" spans="2:8" ht="16.5" thickBot="1">
      <c r="B28" s="76"/>
      <c r="C28" s="97" t="str">
        <f>IF(C27&gt;=D27,"SD =","SC =")</f>
        <v>SD =</v>
      </c>
      <c r="D28" s="98">
        <f>IF(C27&gt;D27,C27-D27,D27-C27)</f>
        <v>0</v>
      </c>
      <c r="E28" s="77"/>
      <c r="F28" s="99"/>
      <c r="G28" s="100"/>
      <c r="H28" s="78"/>
    </row>
    <row r="29" spans="2:8" ht="16.5" thickBot="1">
      <c r="B29" s="76"/>
      <c r="C29" s="99"/>
      <c r="D29" s="100"/>
      <c r="E29" s="77"/>
      <c r="F29" s="99"/>
      <c r="G29" s="100"/>
      <c r="H29" s="78"/>
    </row>
    <row r="30" spans="2:8">
      <c r="B30" s="76"/>
      <c r="C30" s="153">
        <v>512</v>
      </c>
      <c r="D30" s="154"/>
      <c r="E30" s="77"/>
      <c r="F30" s="196"/>
      <c r="G30" s="196"/>
      <c r="H30" s="78"/>
    </row>
    <row r="31" spans="2:8" ht="16.5" customHeight="1" thickBot="1">
      <c r="B31" s="76"/>
      <c r="C31" s="147" t="str">
        <f>IF(C30="","",VLOOKUP(C30,Comptes,2,FALSE))</f>
        <v>Banques</v>
      </c>
      <c r="D31" s="148"/>
      <c r="E31" s="77"/>
      <c r="F31" s="197"/>
      <c r="G31" s="197"/>
      <c r="H31" s="78"/>
    </row>
    <row r="32" spans="2:8">
      <c r="B32" s="76"/>
      <c r="C32" s="69"/>
      <c r="D32" s="105">
        <f>IF(C30="","",VLOOKUP(C30,Journal!C4:G5,5,FALSE))</f>
        <v>5360</v>
      </c>
      <c r="E32" s="77"/>
      <c r="F32" s="195"/>
      <c r="G32" s="195"/>
      <c r="H32" s="78"/>
    </row>
    <row r="33" spans="2:8">
      <c r="B33" s="76"/>
      <c r="C33" s="187"/>
      <c r="D33" s="188">
        <f>IF(C30="","",VLOOKUP(C30,Journal!C10:G11,5,FALSE))</f>
        <v>5488</v>
      </c>
      <c r="E33" s="77"/>
      <c r="F33" s="195"/>
      <c r="G33" s="195"/>
      <c r="H33" s="78"/>
    </row>
    <row r="34" spans="2:8" ht="16.5" thickBot="1">
      <c r="B34" s="76"/>
      <c r="C34" s="95"/>
      <c r="D34" s="95"/>
      <c r="E34" s="77"/>
      <c r="F34" s="195"/>
      <c r="G34" s="195"/>
      <c r="H34" s="78"/>
    </row>
    <row r="35" spans="2:8" ht="16.5" thickBot="1">
      <c r="B35" s="76"/>
      <c r="C35" s="96">
        <f>SUM(C32:C34)</f>
        <v>0</v>
      </c>
      <c r="D35" s="96">
        <f>SUM(D32:D34)</f>
        <v>10848</v>
      </c>
      <c r="E35" s="77"/>
      <c r="F35" s="195"/>
      <c r="G35" s="195"/>
      <c r="H35" s="78"/>
    </row>
    <row r="36" spans="2:8" ht="16.5" thickBot="1">
      <c r="B36" s="76"/>
      <c r="C36" s="97" t="str">
        <f>IF(C35&gt;=D35,"SD =","SC =")</f>
        <v>SC =</v>
      </c>
      <c r="D36" s="98">
        <f>IF(C35&gt;D35,C35-D35,D35-C35)</f>
        <v>10848</v>
      </c>
      <c r="E36" s="77"/>
      <c r="F36" s="99"/>
      <c r="G36" s="100"/>
      <c r="H36" s="78"/>
    </row>
    <row r="37" spans="2:8" ht="16.5" thickBot="1">
      <c r="B37" s="79"/>
      <c r="C37" s="80"/>
      <c r="D37" s="80"/>
      <c r="E37" s="80"/>
      <c r="F37" s="80"/>
      <c r="G37" s="80"/>
      <c r="H37" s="81"/>
    </row>
  </sheetData>
  <sheetProtection sheet="1" objects="1" scenarios="1"/>
  <mergeCells count="17">
    <mergeCell ref="F14:G14"/>
    <mergeCell ref="F15:G15"/>
    <mergeCell ref="C4:D4"/>
    <mergeCell ref="F4:G4"/>
    <mergeCell ref="F6:G6"/>
    <mergeCell ref="F7:G7"/>
    <mergeCell ref="B2:H2"/>
    <mergeCell ref="C15:D15"/>
    <mergeCell ref="C14:D14"/>
    <mergeCell ref="C6:D6"/>
    <mergeCell ref="C7:D7"/>
    <mergeCell ref="C22:D22"/>
    <mergeCell ref="C23:D23"/>
    <mergeCell ref="C31:D31"/>
    <mergeCell ref="F31:G31"/>
    <mergeCell ref="C30:D30"/>
    <mergeCell ref="F30:G30"/>
  </mergeCells>
  <dataValidations count="1">
    <dataValidation allowBlank="1" showInputMessage="1" showErrorMessage="1" prompt="Saisir un  numéro de compte !" sqref="C30:D30 F30:G30 F14:G14 C14:D14 C22:D22 C6:D6 F6:G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55" t="s">
        <v>827</v>
      </c>
      <c r="C2" s="156"/>
      <c r="D2" s="156"/>
      <c r="E2" s="156"/>
      <c r="F2" s="156"/>
      <c r="G2" s="157"/>
      <c r="H2" s="13"/>
    </row>
    <row r="3" spans="2:8" s="2" customFormat="1">
      <c r="B3" s="162" t="s">
        <v>813</v>
      </c>
      <c r="C3" s="164" t="s">
        <v>814</v>
      </c>
      <c r="D3" s="160" t="s">
        <v>823</v>
      </c>
      <c r="E3" s="161"/>
      <c r="F3" s="160" t="s">
        <v>824</v>
      </c>
      <c r="G3" s="161"/>
    </row>
    <row r="4" spans="2:8" s="2" customFormat="1" ht="16.5" thickBot="1">
      <c r="B4" s="163"/>
      <c r="C4" s="165"/>
      <c r="D4" s="88" t="s">
        <v>815</v>
      </c>
      <c r="E4" s="82" t="s">
        <v>816</v>
      </c>
      <c r="F4" s="88" t="s">
        <v>825</v>
      </c>
      <c r="G4" s="82" t="s">
        <v>826</v>
      </c>
    </row>
    <row r="5" spans="2:8" s="2" customFormat="1">
      <c r="B5" s="90">
        <v>44551</v>
      </c>
      <c r="C5" s="85" t="str">
        <f t="shared" ref="C5" si="0">IF(B5="","",VLOOKUP(B5,Comptes,2,FALSE))</f>
        <v>TVA à décaisser</v>
      </c>
      <c r="D5" s="86">
        <f>'Grand Livre'!F11</f>
        <v>10848</v>
      </c>
      <c r="E5" s="87">
        <f>'Grand Livre'!G11</f>
        <v>23588</v>
      </c>
      <c r="F5" s="89" t="str">
        <f>IF(D5&gt;E5,D5-E5,"")</f>
        <v/>
      </c>
      <c r="G5" s="83">
        <f>IF(E5&gt;D5,E5-D5,"")</f>
        <v>12740</v>
      </c>
    </row>
    <row r="6" spans="2:8">
      <c r="B6" s="90">
        <v>44562</v>
      </c>
      <c r="C6" s="85" t="str">
        <f t="shared" ref="C6" si="1">IF(B6="","",VLOOKUP(B6,Comptes,2,FALSE))</f>
        <v>TVA sur immobilisations</v>
      </c>
      <c r="D6" s="86">
        <f>'Grand Livre'!C11</f>
        <v>4900</v>
      </c>
      <c r="E6" s="87">
        <f>'Grand Livre'!D11</f>
        <v>4900</v>
      </c>
      <c r="F6" s="86" t="str">
        <f>IF(D6&gt;E6,D6-E6,"")</f>
        <v/>
      </c>
      <c r="G6" s="84" t="str">
        <f>IF(E6&gt;D6,E6-D6,"")</f>
        <v/>
      </c>
    </row>
    <row r="7" spans="2:8">
      <c r="B7" s="90">
        <f>IF('Grand Livre'!C14="","",'Grand Livre'!C14)</f>
        <v>44566</v>
      </c>
      <c r="C7" s="85" t="str">
        <f>IF(B7="","",VLOOKUP(B7,Comptes,2,FALSE))</f>
        <v>TVA sur autres biens et services</v>
      </c>
      <c r="D7" s="86">
        <f>'Grand Livre'!C19</f>
        <v>65072</v>
      </c>
      <c r="E7" s="87">
        <f>'Grand Livre'!D19</f>
        <v>65072</v>
      </c>
      <c r="F7" s="86" t="str">
        <f t="shared" ref="F7:F10" si="2">IF(D7&gt;E7,D7-E7,"")</f>
        <v/>
      </c>
      <c r="G7" s="84" t="str">
        <f t="shared" ref="G7:G10" si="3">IF(E7&gt;D7,E7-D7,"")</f>
        <v/>
      </c>
    </row>
    <row r="8" spans="2:8">
      <c r="B8" s="90">
        <v>44567</v>
      </c>
      <c r="C8" s="85" t="str">
        <f>IF(B8="","",VLOOKUP(B8,Comptes,2,FALSE))</f>
        <v>Crédit de TVA à reporter</v>
      </c>
      <c r="D8" s="86">
        <f>'Grand Livre'!C27</f>
        <v>392</v>
      </c>
      <c r="E8" s="87">
        <f>'Grand Livre'!D27</f>
        <v>392</v>
      </c>
      <c r="F8" s="86" t="str">
        <f t="shared" si="2"/>
        <v/>
      </c>
      <c r="G8" s="84" t="str">
        <f t="shared" si="3"/>
        <v/>
      </c>
    </row>
    <row r="9" spans="2:8">
      <c r="B9" s="90">
        <v>44571</v>
      </c>
      <c r="C9" s="85" t="str">
        <f t="shared" ref="C9" si="4">IF(B9="","",VLOOKUP(B9,Comptes,2,FALSE))</f>
        <v>TVA collectée</v>
      </c>
      <c r="D9" s="86">
        <f>'Grand Livre'!F19</f>
        <v>88200</v>
      </c>
      <c r="E9" s="87">
        <f>'Grand Livre'!G19</f>
        <v>88200</v>
      </c>
      <c r="F9" s="86" t="str">
        <f t="shared" si="2"/>
        <v/>
      </c>
      <c r="G9" s="84" t="str">
        <f t="shared" si="3"/>
        <v/>
      </c>
    </row>
    <row r="10" spans="2:8" ht="16.5" thickBot="1">
      <c r="B10" s="90">
        <v>512</v>
      </c>
      <c r="C10" s="85" t="str">
        <f t="shared" ref="C10" si="5">IF(B10="","",VLOOKUP(B10,Comptes,2,FALSE))</f>
        <v>Banques</v>
      </c>
      <c r="D10" s="86">
        <f>'Grand Livre'!C35</f>
        <v>0</v>
      </c>
      <c r="E10" s="87">
        <f>'Grand Livre'!D35</f>
        <v>10848</v>
      </c>
      <c r="F10" s="86" t="str">
        <f t="shared" si="2"/>
        <v/>
      </c>
      <c r="G10" s="84">
        <f t="shared" si="3"/>
        <v>10848</v>
      </c>
    </row>
    <row r="11" spans="2:8" ht="16.5" thickBot="1">
      <c r="B11" s="158" t="s">
        <v>817</v>
      </c>
      <c r="C11" s="159"/>
      <c r="D11" s="92">
        <f>SUM(D6:D10)</f>
        <v>158564</v>
      </c>
      <c r="E11" s="91">
        <f>SUM(E6:E10)</f>
        <v>169412</v>
      </c>
      <c r="F11" s="92">
        <f>SUM(F6:F10)</f>
        <v>0</v>
      </c>
      <c r="G11" s="91">
        <f>SUM(G6:G10)</f>
        <v>10848</v>
      </c>
    </row>
  </sheetData>
  <sheetProtection sheet="1" objects="1" scenarios="1"/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166" t="s">
        <v>828</v>
      </c>
      <c r="C2" s="167"/>
      <c r="D2" s="167"/>
      <c r="E2" s="168"/>
    </row>
    <row r="3" spans="2:5" ht="16.5" thickBot="1">
      <c r="B3" s="169" t="s">
        <v>419</v>
      </c>
      <c r="C3" s="170"/>
      <c r="D3" s="169" t="s">
        <v>420</v>
      </c>
      <c r="E3" s="170"/>
    </row>
    <row r="4" spans="2:5">
      <c r="B4" s="107" t="s">
        <v>837</v>
      </c>
      <c r="C4" s="108">
        <v>0</v>
      </c>
      <c r="D4" s="109" t="s">
        <v>838</v>
      </c>
      <c r="E4" s="108">
        <v>0</v>
      </c>
    </row>
    <row r="5" spans="2:5" ht="15.75" customHeight="1">
      <c r="B5" s="110"/>
      <c r="C5" s="111"/>
      <c r="D5" s="112"/>
      <c r="E5" s="113"/>
    </row>
    <row r="6" spans="2:5" s="5" customFormat="1" ht="16.5" thickBot="1">
      <c r="B6" s="114" t="s">
        <v>829</v>
      </c>
      <c r="C6" s="115">
        <f>SUM(C4:C5)</f>
        <v>0</v>
      </c>
      <c r="D6" s="116" t="s">
        <v>830</v>
      </c>
      <c r="E6" s="117">
        <f>SUM(E4:E5)</f>
        <v>0</v>
      </c>
    </row>
    <row r="7" spans="2:5" s="5" customFormat="1" ht="16.5" thickBot="1">
      <c r="B7" s="118" t="s">
        <v>831</v>
      </c>
      <c r="C7" s="119">
        <f>E6-C6</f>
        <v>0</v>
      </c>
      <c r="D7" s="120"/>
      <c r="E7" s="121"/>
    </row>
    <row r="8" spans="2:5" ht="16.5" thickBot="1">
      <c r="B8" s="122"/>
      <c r="C8" s="122"/>
      <c r="D8" s="122"/>
      <c r="E8" s="122"/>
    </row>
    <row r="9" spans="2:5" ht="16.5" thickBot="1">
      <c r="B9" s="166" t="s">
        <v>809</v>
      </c>
      <c r="C9" s="167"/>
      <c r="D9" s="167"/>
      <c r="E9" s="168"/>
    </row>
    <row r="10" spans="2:5" ht="16.5" thickBot="1">
      <c r="B10" s="169" t="s">
        <v>832</v>
      </c>
      <c r="C10" s="198"/>
      <c r="D10" s="169" t="s">
        <v>833</v>
      </c>
      <c r="E10" s="170"/>
    </row>
    <row r="11" spans="2:5" s="5" customFormat="1">
      <c r="B11" s="123" t="s">
        <v>834</v>
      </c>
      <c r="C11" s="199"/>
      <c r="D11" s="124" t="s">
        <v>835</v>
      </c>
      <c r="E11" s="125"/>
    </row>
    <row r="12" spans="2:5">
      <c r="B12" s="126"/>
      <c r="C12" s="111"/>
      <c r="D12" s="127"/>
      <c r="E12" s="128"/>
    </row>
    <row r="13" spans="2:5">
      <c r="B13" s="126" t="s">
        <v>839</v>
      </c>
      <c r="C13" s="111" t="str">
        <f>VLOOKUP(44567,Balance!B7:G11,5,FALSE)</f>
        <v/>
      </c>
      <c r="D13" s="127" t="s">
        <v>356</v>
      </c>
      <c r="E13" s="128">
        <f>VLOOKUP(44551,Balance!B5:G10,6,FALSE)</f>
        <v>12740</v>
      </c>
    </row>
    <row r="14" spans="2:5">
      <c r="B14" s="126"/>
      <c r="C14" s="200"/>
      <c r="D14" s="129" t="s">
        <v>449</v>
      </c>
      <c r="E14" s="111">
        <f>VLOOKUP(512,Balance!B5:G10,6,FALSE)</f>
        <v>10848</v>
      </c>
    </row>
    <row r="15" spans="2:5" s="5" customFormat="1" ht="16.5" thickBot="1">
      <c r="B15" s="130" t="s">
        <v>817</v>
      </c>
      <c r="C15" s="115">
        <f>SUM(C12:C14)</f>
        <v>0</v>
      </c>
      <c r="D15" s="131" t="s">
        <v>817</v>
      </c>
      <c r="E15" s="117">
        <f>SUM(E12:E14)</f>
        <v>23588</v>
      </c>
    </row>
    <row r="16" spans="2:5" s="5" customFormat="1" ht="16.5" thickBot="1">
      <c r="B16" s="118" t="s">
        <v>836</v>
      </c>
      <c r="C16" s="119">
        <f>C7</f>
        <v>0</v>
      </c>
      <c r="D16" s="132"/>
      <c r="E16" s="121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CA3 - Tableau préparatoire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2011-10-28T09:06:09Z</dcterms:modified>
</cp:coreProperties>
</file>