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1" sheetId="1" r:id="rId1"/>
  </sheets>
  <definedNames>
    <definedName name="Annuités">'Travail 1'!$E$10:$E$20</definedName>
    <definedName name="Base_Amortissable">'Travail 1'!$D$10:$D$20</definedName>
    <definedName name="Cumul_des_annuités">'Travail 1'!$F$10:$F$20</definedName>
    <definedName name="Date_debut">'Travail 1'!$E$8</definedName>
    <definedName name="Durée">'Travail 1'!$G$4</definedName>
    <definedName name="Exercices">'Travail 1'!$B$10:$B$20</definedName>
    <definedName name="Prorata">'Travail 1'!$G$6</definedName>
    <definedName name="Taux">'Travail 1'!$G$5</definedName>
    <definedName name="Valeur">'Travail 1'!$E$5</definedName>
  </definedNames>
  <calcPr fullCalcOnLoad="1"/>
</workbook>
</file>

<file path=xl/sharedStrings.xml><?xml version="1.0" encoding="utf-8"?>
<sst xmlns="http://schemas.openxmlformats.org/spreadsheetml/2006/main" count="36" uniqueCount="28">
  <si>
    <t>Exercices</t>
  </si>
  <si>
    <t>Base Amortissable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</si>
  <si>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</si>
  <si>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</si>
  <si>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</si>
  <si>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</si>
  <si>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</si>
  <si>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</si>
  <si>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</si>
  <si>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</si>
  <si>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jours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</si>
  <si>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</si>
  <si>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</si>
  <si>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</si>
  <si>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</si>
  <si>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</si>
  <si>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</si>
  <si>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</si>
  <si>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</si>
  <si>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Linéaire</t>
  </si>
  <si>
    <t>Amortissement :</t>
  </si>
  <si>
    <t>Matériel industriel</t>
  </si>
  <si>
    <t>Annuités :</t>
  </si>
  <si>
    <t>&lt;= 300 000,00 x 10 % x 260/360</t>
  </si>
  <si>
    <t>&lt;= du 01/01/2016 au 09/04/2016 : 100 jours</t>
  </si>
  <si>
    <t>&lt;= 300 000,00 x 10 % x 100/360</t>
  </si>
  <si>
    <t xml:space="preserve">&lt;= 300 000,00 x 10 % </t>
  </si>
  <si>
    <t>&lt;= du 10/04/2006 au 31/12/2006 : 260 jours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</si>
</sst>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0.000"/>
    <numFmt numFmtId="170" formatCode="0.0"/>
    <numFmt numFmtId="171" formatCode="yyyy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/>
      <protection/>
    </xf>
    <xf numFmtId="44" fontId="1" fillId="0" borderId="5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6" xfId="15" applyFont="1" applyBorder="1" applyAlignment="1" applyProtection="1">
      <alignment/>
      <protection/>
    </xf>
    <xf numFmtId="44" fontId="1" fillId="2" borderId="6" xfId="15" applyFont="1" applyFill="1" applyBorder="1" applyAlignment="1" applyProtection="1">
      <alignment/>
      <protection/>
    </xf>
    <xf numFmtId="44" fontId="2" fillId="0" borderId="0" xfId="15" applyFont="1" applyFill="1" applyBorder="1" applyAlignment="1" applyProtection="1">
      <alignment horizontal="center"/>
      <protection/>
    </xf>
    <xf numFmtId="44" fontId="1" fillId="0" borderId="0" xfId="15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44" fontId="1" fillId="0" borderId="8" xfId="15" applyFont="1" applyBorder="1" applyAlignment="1" applyProtection="1">
      <alignment horizontal="center"/>
      <protection/>
    </xf>
    <xf numFmtId="44" fontId="1" fillId="0" borderId="9" xfId="15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4" fontId="2" fillId="2" borderId="11" xfId="15" applyFont="1" applyFill="1" applyBorder="1" applyAlignment="1" applyProtection="1">
      <alignment horizontal="center"/>
      <protection/>
    </xf>
    <xf numFmtId="44" fontId="2" fillId="2" borderId="12" xfId="15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/>
      <protection/>
    </xf>
    <xf numFmtId="171" fontId="2" fillId="0" borderId="5" xfId="0" applyNumberFormat="1" applyFont="1" applyBorder="1" applyAlignment="1" applyProtection="1">
      <alignment horizontal="center"/>
      <protection/>
    </xf>
    <xf numFmtId="14" fontId="1" fillId="0" borderId="3" xfId="15" applyNumberFormat="1" applyFont="1" applyFill="1" applyBorder="1" applyAlignment="1" applyProtection="1">
      <alignment horizontal="center"/>
      <protection/>
    </xf>
    <xf numFmtId="14" fontId="1" fillId="0" borderId="0" xfId="15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showGridLines="0" tabSelected="1" workbookViewId="0" topLeftCell="A1">
      <selection activeCell="J9" sqref="J9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43.421875" style="27" bestFit="1" customWidth="1"/>
    <col min="11" max="16384" width="11.421875" style="1" customWidth="1"/>
  </cols>
  <sheetData>
    <row r="1" ht="16.5" thickBot="1"/>
    <row r="2" spans="2:11" ht="15.75" customHeight="1">
      <c r="B2" s="35"/>
      <c r="C2" s="38" t="s">
        <v>14</v>
      </c>
      <c r="D2" s="3"/>
      <c r="E2" s="30" t="s">
        <v>21</v>
      </c>
      <c r="F2" s="30"/>
      <c r="G2" s="30"/>
      <c r="H2" s="31"/>
      <c r="I2" s="4"/>
      <c r="J2" s="26"/>
      <c r="K2" s="5"/>
    </row>
    <row r="3" spans="2:11" ht="15.75">
      <c r="B3" s="36"/>
      <c r="C3" s="4" t="s">
        <v>11</v>
      </c>
      <c r="D3" s="4"/>
      <c r="E3" s="22">
        <v>300000</v>
      </c>
      <c r="F3" s="6" t="s">
        <v>20</v>
      </c>
      <c r="G3" s="7" t="s">
        <v>19</v>
      </c>
      <c r="H3" s="23"/>
      <c r="I3" s="4"/>
      <c r="J3" s="26"/>
      <c r="K3" s="5"/>
    </row>
    <row r="4" spans="2:12" ht="15.75">
      <c r="B4" s="36"/>
      <c r="C4" s="4" t="s">
        <v>12</v>
      </c>
      <c r="D4" s="4"/>
      <c r="E4" s="22">
        <v>0</v>
      </c>
      <c r="F4" s="6" t="s">
        <v>6</v>
      </c>
      <c r="G4" s="25">
        <v>10</v>
      </c>
      <c r="H4" s="8" t="s">
        <v>8</v>
      </c>
      <c r="I4" s="4"/>
      <c r="J4" s="26"/>
      <c r="K4" s="5"/>
      <c r="L4" s="5"/>
    </row>
    <row r="5" spans="2:12" ht="15.75" customHeight="1">
      <c r="B5" s="36"/>
      <c r="C5" s="4" t="s">
        <v>13</v>
      </c>
      <c r="D5" s="4"/>
      <c r="E5" s="9">
        <f>IF(AND(E3="",E4=""),"",E3-E4)</f>
        <v>300000</v>
      </c>
      <c r="F5" s="6" t="s">
        <v>15</v>
      </c>
      <c r="G5" s="10">
        <f>IF(G4="","",100/Durée)</f>
        <v>10</v>
      </c>
      <c r="H5" s="8" t="s">
        <v>9</v>
      </c>
      <c r="I5" s="4"/>
      <c r="J5" s="26"/>
      <c r="K5" s="5"/>
      <c r="L5" s="5"/>
    </row>
    <row r="6" spans="2:13" ht="15.75" customHeight="1">
      <c r="B6" s="36"/>
      <c r="C6" s="37" t="s">
        <v>16</v>
      </c>
      <c r="D6" s="4"/>
      <c r="E6" s="51">
        <v>39000</v>
      </c>
      <c r="F6" s="6" t="s">
        <v>7</v>
      </c>
      <c r="G6" s="12">
        <v>260</v>
      </c>
      <c r="H6" s="8" t="s">
        <v>10</v>
      </c>
      <c r="I6" s="4"/>
      <c r="J6" s="32" t="s">
        <v>27</v>
      </c>
      <c r="K6" s="32"/>
      <c r="L6" s="32"/>
      <c r="M6" s="32"/>
    </row>
    <row r="7" spans="2:13" ht="15.75" customHeight="1">
      <c r="B7" s="36"/>
      <c r="C7" s="37" t="s">
        <v>17</v>
      </c>
      <c r="D7" s="4"/>
      <c r="E7" s="51">
        <v>39000</v>
      </c>
      <c r="F7" s="11"/>
      <c r="G7" s="12"/>
      <c r="H7" s="8"/>
      <c r="I7" s="4"/>
      <c r="J7" s="32" t="s">
        <v>24</v>
      </c>
      <c r="K7" s="32"/>
      <c r="L7" s="32"/>
      <c r="M7" s="32"/>
    </row>
    <row r="8" spans="2:11" ht="16.5" thickBot="1">
      <c r="B8" s="39"/>
      <c r="C8" s="40" t="s">
        <v>18</v>
      </c>
      <c r="D8" s="13"/>
      <c r="E8" s="50">
        <f>IF(E7="","",E7)</f>
        <v>39000</v>
      </c>
      <c r="F8" s="13"/>
      <c r="G8" s="13"/>
      <c r="H8" s="24"/>
      <c r="J8" s="26"/>
      <c r="K8" s="5"/>
    </row>
    <row r="9" spans="2:10" s="15" customFormat="1" ht="31.5" customHeight="1">
      <c r="B9" s="44" t="s">
        <v>0</v>
      </c>
      <c r="C9" s="41"/>
      <c r="D9" s="45" t="s">
        <v>1</v>
      </c>
      <c r="E9" s="45" t="s">
        <v>2</v>
      </c>
      <c r="F9" s="45" t="s">
        <v>3</v>
      </c>
      <c r="G9" s="46" t="s">
        <v>4</v>
      </c>
      <c r="H9" s="47"/>
      <c r="I9" s="14"/>
      <c r="J9" s="26" t="s">
        <v>22</v>
      </c>
    </row>
    <row r="10" spans="2:10" ht="15.75">
      <c r="B10" s="16">
        <v>1</v>
      </c>
      <c r="C10" s="49">
        <f>IF(Date_debut="","",IF(AND(Exercices&lt;=Durée+1,Prorata&lt;360),Date_debut,""))</f>
        <v>39000</v>
      </c>
      <c r="D10" s="17">
        <f>IF(OR(Valeur="",Durée="",Prorata=""),"",IF(AND(Prorata=360,Durée&gt;0),Valeur,IF(AND(Prorata&lt;360,Durée&gt;0),Valeur,0)))</f>
        <v>300000</v>
      </c>
      <c r="E10" s="17">
        <f>IF(OR(Valeur="",Durée="",Prorata=""),"",IF(AND(Prorata=360,Durée&gt;0),Base_Amortissable*Taux%,IF(AND(Prorata&lt;360,Durée&gt;0),Base_Amortissable*Taux%*Prorata/360,0)))</f>
        <v>21666.666666666668</v>
      </c>
      <c r="F10" s="17">
        <f>IF(OR(Valeur="",Durée="",Prorata=""),"",IF(Annuités=0,0,Annuités))</f>
        <v>21666.666666666668</v>
      </c>
      <c r="G10" s="28">
        <f aca="true" t="shared" si="0" ref="G10:G20">IF(OR(Valeur="",Durée="",Prorata=""),"",Base_Amortissable-Cumul_des_annuités)</f>
        <v>278333.3333333333</v>
      </c>
      <c r="H10" s="29"/>
      <c r="I10" s="18"/>
      <c r="J10" s="27" t="s">
        <v>23</v>
      </c>
    </row>
    <row r="11" spans="2:10" ht="15.75">
      <c r="B11" s="16">
        <v>2</v>
      </c>
      <c r="C11" s="49">
        <f>IF(Date_debut="","",IF(AND(Exercices&lt;=Durée+1,Prorata&lt;360),C10+365,""))</f>
        <v>39365</v>
      </c>
      <c r="D11" s="17">
        <f>IF(OR(Valeur="",Durée="",Prorata=""),"",IF(AND(Prorata=360,Durée&gt;1),Valeur,IF(AND(Prorata&lt;360,Durée&gt;=1),Valeur,0)))</f>
        <v>300000</v>
      </c>
      <c r="E11" s="17">
        <f>IF(OR(Valeur="",Durée="",Prorata=""),"",IF(AND(Prorata=360,Durée&gt;1),Base_Amortissable*Taux%,IF(AND(Prorata&lt;360,Durée=1),Base_Amortissable*Taux%*(360-Prorata)/360,Base_Amortissable*Taux%)))</f>
        <v>30000</v>
      </c>
      <c r="F11" s="17">
        <f aca="true" t="shared" si="1" ref="F11:F20">IF(OR(Valeur="",Durée="",Prorata=""),"",IF(Annuités=0,0,Annuités+F10))</f>
        <v>51666.66666666667</v>
      </c>
      <c r="G11" s="28">
        <f t="shared" si="0"/>
        <v>248333.3333333333</v>
      </c>
      <c r="H11" s="29"/>
      <c r="I11" s="18"/>
      <c r="J11" s="27" t="s">
        <v>26</v>
      </c>
    </row>
    <row r="12" spans="2:10" ht="15.75">
      <c r="B12" s="16">
        <v>3</v>
      </c>
      <c r="C12" s="49">
        <f>IF(Date_debut="","",IF(AND(Exercices&lt;=Durée+1,Prorata&lt;360),C11+365,""))</f>
        <v>39730</v>
      </c>
      <c r="D12" s="17">
        <f>IF(OR(Valeur="",Durée="",Prorata=""),"",IF(AND(Prorata=360,Durée&gt;2),Valeur,IF(AND(Prorata&lt;360,Durée&gt;=2),Valeur,0)))</f>
        <v>300000</v>
      </c>
      <c r="E12" s="17">
        <f>IF(OR(Valeur="",Durée="",Prorata=""),"",IF(AND(Prorata=360,Durée&gt;1),Base_Amortissable*Taux%,IF(AND(Prorata&lt;360,Durée=2),Base_Amortissable*Taux%*(360-Prorata)/360,Base_Amortissable*Taux%)))</f>
        <v>30000</v>
      </c>
      <c r="F12" s="17">
        <f t="shared" si="1"/>
        <v>81666.66666666667</v>
      </c>
      <c r="G12" s="28">
        <f t="shared" si="0"/>
        <v>218333.3333333333</v>
      </c>
      <c r="H12" s="29"/>
      <c r="I12" s="18"/>
      <c r="J12" s="27" t="s">
        <v>26</v>
      </c>
    </row>
    <row r="13" spans="2:10" ht="15.75">
      <c r="B13" s="16">
        <v>4</v>
      </c>
      <c r="C13" s="49">
        <f>IF(Date_debut="","",IF(AND(Exercices&lt;=Durée+1,Prorata&lt;360),C12+365,""))</f>
        <v>40095</v>
      </c>
      <c r="D13" s="17">
        <f>IF(OR(Valeur="",Durée="",Prorata=""),"",IF(AND(Prorata=360,Durée&gt;3),Valeur,IF(AND(Prorata&lt;360,Durée&gt;=3),Valeur,0)))</f>
        <v>300000</v>
      </c>
      <c r="E13" s="17">
        <f>IF(OR(Valeur="",Durée="",Prorata=""),"",IF(AND(Prorata=360,Durée&gt;1),Base_Amortissable*Taux%,IF(AND(Prorata&lt;360,Durée=3),Base_Amortissable*Taux%*(360-Prorata)/360,Base_Amortissable*Taux%)))</f>
        <v>30000</v>
      </c>
      <c r="F13" s="17">
        <f t="shared" si="1"/>
        <v>111666.66666666667</v>
      </c>
      <c r="G13" s="28">
        <f t="shared" si="0"/>
        <v>188333.3333333333</v>
      </c>
      <c r="H13" s="29"/>
      <c r="I13" s="18"/>
      <c r="J13" s="27" t="s">
        <v>26</v>
      </c>
    </row>
    <row r="14" spans="2:10" ht="15.75">
      <c r="B14" s="16">
        <v>5</v>
      </c>
      <c r="C14" s="49">
        <f>IF(Date_debut="","",IF(AND(Exercices&lt;=Durée+1,Prorata&lt;360),C13+365,""))</f>
        <v>40460</v>
      </c>
      <c r="D14" s="17">
        <f>IF(OR(Valeur="",Durée="",Prorata=""),"",IF(AND(Prorata=360,Durée&gt;4),Valeur,IF(AND(Prorata&lt;360,Durée&gt;=4),Valeur,0)))</f>
        <v>300000</v>
      </c>
      <c r="E14" s="17">
        <f>IF(OR(Valeur="",Durée="",Prorata=""),"",IF(AND(Prorata=360,Durée&gt;1),Base_Amortissable*Taux%,IF(AND(Prorata&lt;360,Durée=4),Base_Amortissable*Taux%*(360-Prorata)/360,Base_Amortissable*Taux%)))</f>
        <v>30000</v>
      </c>
      <c r="F14" s="17">
        <f t="shared" si="1"/>
        <v>141666.6666666667</v>
      </c>
      <c r="G14" s="28">
        <f t="shared" si="0"/>
        <v>158333.3333333333</v>
      </c>
      <c r="H14" s="29"/>
      <c r="I14" s="18"/>
      <c r="J14" s="27" t="s">
        <v>26</v>
      </c>
    </row>
    <row r="15" spans="2:10" ht="15.75">
      <c r="B15" s="16">
        <v>6</v>
      </c>
      <c r="C15" s="49">
        <f>IF(Date_debut="","",IF(AND(Exercices&lt;=Durée+1,Prorata&lt;360),C14+365,""))</f>
        <v>40825</v>
      </c>
      <c r="D15" s="17">
        <f>IF(OR(Valeur="",Durée="",Prorata=""),"",IF(AND(Prorata=360,Durée&gt;5),Valeur,IF(AND(Prorata&lt;360,Durée&gt;=5),Valeur,0)))</f>
        <v>300000</v>
      </c>
      <c r="E15" s="17">
        <f>IF(OR(Valeur="",Durée="",Prorata=""),"",IF(AND(Prorata=360,Durée&gt;1),Base_Amortissable*Taux%,IF(AND(Prorata&lt;360,Durée=5),Base_Amortissable*Taux%*(360-Prorata)/360,Base_Amortissable*Taux%)))</f>
        <v>30000</v>
      </c>
      <c r="F15" s="17">
        <f t="shared" si="1"/>
        <v>171666.6666666667</v>
      </c>
      <c r="G15" s="28">
        <f t="shared" si="0"/>
        <v>128333.33333333331</v>
      </c>
      <c r="H15" s="29"/>
      <c r="I15" s="18"/>
      <c r="J15" s="27" t="s">
        <v>26</v>
      </c>
    </row>
    <row r="16" spans="2:10" ht="15.75">
      <c r="B16" s="16">
        <v>7</v>
      </c>
      <c r="C16" s="49">
        <f>IF(Date_debut="","",IF(AND(Exercices&lt;=Durée+1,Prorata&lt;360),C15+365,""))</f>
        <v>41190</v>
      </c>
      <c r="D16" s="17">
        <f>IF(OR(Valeur="",Durée="",Prorata=""),"",IF(AND(Prorata=360,Durée&gt;6),Valeur,IF(AND(Prorata&lt;360,Durée&gt;=6),Valeur,0)))</f>
        <v>300000</v>
      </c>
      <c r="E16" s="17">
        <f>IF(OR(Valeur="",Durée="",Prorata=""),"",IF(AND(Prorata=360,Durée&gt;1),Base_Amortissable*Taux%,IF(AND(Prorata&lt;360,Durée=6),Base_Amortissable*Taux%*(360-Prorata)/360,Base_Amortissable*Taux%)))</f>
        <v>30000</v>
      </c>
      <c r="F16" s="17">
        <f t="shared" si="1"/>
        <v>201666.6666666667</v>
      </c>
      <c r="G16" s="28">
        <f t="shared" si="0"/>
        <v>98333.33333333331</v>
      </c>
      <c r="H16" s="29"/>
      <c r="I16" s="18"/>
      <c r="J16" s="27" t="s">
        <v>26</v>
      </c>
    </row>
    <row r="17" spans="2:10" ht="15.75">
      <c r="B17" s="16">
        <v>8</v>
      </c>
      <c r="C17" s="49">
        <f>IF(Date_debut="","",IF(AND(Exercices&lt;=Durée+1,Prorata&lt;360),C16+365,""))</f>
        <v>41555</v>
      </c>
      <c r="D17" s="17">
        <f>IF(OR(Valeur="",Durée="",Prorata=""),"",IF(AND(Prorata=360,Durée&gt;7),Valeur,IF(AND(Prorata&lt;360,Durée&gt;=7),Valeur,0)))</f>
        <v>300000</v>
      </c>
      <c r="E17" s="17">
        <f>IF(OR(Valeur="",Durée="",Prorata=""),"",IF(AND(Prorata=360,Durée&gt;1),Base_Amortissable*Taux%,IF(AND(Prorata&lt;360,Durée=7),Base_Amortissable*Taux%*(360-Prorata)/360,Base_Amortissable*Taux%)))</f>
        <v>30000</v>
      </c>
      <c r="F17" s="17">
        <f t="shared" si="1"/>
        <v>231666.6666666667</v>
      </c>
      <c r="G17" s="28">
        <f t="shared" si="0"/>
        <v>68333.33333333331</v>
      </c>
      <c r="H17" s="29"/>
      <c r="I17" s="18"/>
      <c r="J17" s="27" t="s">
        <v>26</v>
      </c>
    </row>
    <row r="18" spans="2:10" ht="15.75">
      <c r="B18" s="16">
        <v>9</v>
      </c>
      <c r="C18" s="49">
        <f>IF(Date_debut="","",IF(AND(Exercices&lt;=Durée+1,Prorata&lt;360),C17+365,""))</f>
        <v>41920</v>
      </c>
      <c r="D18" s="17">
        <f>IF(OR(Valeur="",Durée="",Prorata=""),"",IF(AND(Prorata=360,Durée&gt;8),Valeur,IF(AND(Prorata&lt;360,Durée&gt;=8),Valeur,0)))</f>
        <v>300000</v>
      </c>
      <c r="E18" s="17">
        <f>IF(OR(Valeur="",Durée="",Prorata=""),"",IF(AND(Prorata=360,Durée&gt;1),Base_Amortissable*Taux%,IF(AND(Prorata&lt;360,Durée=8),Base_Amortissable*Taux%*(360-Prorata)/360,Base_Amortissable*Taux%)))</f>
        <v>30000</v>
      </c>
      <c r="F18" s="17">
        <f t="shared" si="1"/>
        <v>261666.6666666667</v>
      </c>
      <c r="G18" s="28">
        <f t="shared" si="0"/>
        <v>38333.333333333314</v>
      </c>
      <c r="H18" s="29"/>
      <c r="I18" s="18"/>
      <c r="J18" s="27" t="s">
        <v>26</v>
      </c>
    </row>
    <row r="19" spans="2:10" ht="15.75">
      <c r="B19" s="16">
        <v>10</v>
      </c>
      <c r="C19" s="49">
        <f>IF(Date_debut="","",IF(AND(Exercices&lt;=Durée+1,Prorata&lt;360),C18+365,""))</f>
        <v>42285</v>
      </c>
      <c r="D19" s="17">
        <f>IF(OR(Valeur="",Durée="",Prorata=""),"",IF(AND(Prorata=360,Durée&gt;9),Valeur,IF(AND(Prorata&lt;360,Durée&gt;=9),Valeur,0)))</f>
        <v>300000</v>
      </c>
      <c r="E19" s="17">
        <f>IF(OR(Valeur="",Durée="",Prorata=""),"",IF(AND(Prorata=360,Durée&gt;1),Base_Amortissable*Taux%,IF(AND(Prorata&lt;360,Durée=9),Base_Amortissable*Taux%*(360-Prorata)/360,Base_Amortissable*Taux%)))</f>
        <v>30000</v>
      </c>
      <c r="F19" s="17">
        <f t="shared" si="1"/>
        <v>291666.6666666667</v>
      </c>
      <c r="G19" s="28">
        <f t="shared" si="0"/>
        <v>8333.333333333314</v>
      </c>
      <c r="H19" s="29"/>
      <c r="I19" s="18"/>
      <c r="J19" s="27" t="s">
        <v>26</v>
      </c>
    </row>
    <row r="20" spans="2:10" ht="15.75">
      <c r="B20" s="16">
        <v>11</v>
      </c>
      <c r="C20" s="49">
        <f>IF(Date_debut="","",IF(AND(Exercices&lt;=Durée+1,Prorata&lt;360),C19+365,""))</f>
        <v>42650</v>
      </c>
      <c r="D20" s="17">
        <f>IF(OR(Valeur="",Durée="",Prorata=""),"",IF(AND(Prorata=360,Durée&gt;10),Valeur,IF(AND(Prorata&lt;360,Durée&gt;=10),Valeur,0)))</f>
        <v>300000</v>
      </c>
      <c r="E20" s="17">
        <f>IF(OR(Valeur="",Durée="",Prorata=""),"",IF(AND(Prorata=360,Durée&gt;1),Base_Amortissable*Taux%,IF(AND(Prorata&lt;360,Durée=10),Base_Amortissable*Taux%*(360-Prorata)/360,Base_Amortissable*Taux%)))</f>
        <v>8333.333333333334</v>
      </c>
      <c r="F20" s="17">
        <f t="shared" si="1"/>
        <v>300000</v>
      </c>
      <c r="G20" s="28">
        <f t="shared" si="0"/>
        <v>0</v>
      </c>
      <c r="H20" s="29"/>
      <c r="I20" s="18"/>
      <c r="J20" s="27" t="s">
        <v>25</v>
      </c>
    </row>
    <row r="21" spans="2:9" ht="16.5" thickBot="1">
      <c r="B21" s="42" t="s">
        <v>5</v>
      </c>
      <c r="C21" s="48"/>
      <c r="D21" s="43"/>
      <c r="E21" s="19">
        <f>IF(E10="","",SUM(Annuités))</f>
        <v>300000</v>
      </c>
      <c r="F21" s="20"/>
      <c r="G21" s="33"/>
      <c r="H21" s="34"/>
      <c r="I21" s="21"/>
    </row>
  </sheetData>
  <sheetProtection sheet="1" objects="1" scenarios="1"/>
  <mergeCells count="18">
    <mergeCell ref="B9:C9"/>
    <mergeCell ref="B21:D21"/>
    <mergeCell ref="J6:M6"/>
    <mergeCell ref="J7:M7"/>
    <mergeCell ref="G9:H9"/>
    <mergeCell ref="G21:H21"/>
    <mergeCell ref="G14:H14"/>
    <mergeCell ref="G13:H13"/>
    <mergeCell ref="G12:H12"/>
    <mergeCell ref="G11:H11"/>
    <mergeCell ref="G15:H15"/>
    <mergeCell ref="G16:H16"/>
    <mergeCell ref="E2:H2"/>
    <mergeCell ref="G10:H10"/>
    <mergeCell ref="G20:H20"/>
    <mergeCell ref="G17:H17"/>
    <mergeCell ref="G18:H18"/>
    <mergeCell ref="G19:H19"/>
  </mergeCells>
  <dataValidations count="5">
    <dataValidation showInputMessage="1" showErrorMessage="1" sqref="G3"/>
    <dataValidation type="whole" allowBlank="1" showInputMessage="1" showErrorMessage="1" promptTitle="Prorata :" prompt="Saisissez un chiffre de 1 à 360" error="Vous ne pouvez saisir qu'un chiffre compris entre 1 et 360 !" sqref="G6">
      <formula1>1</formula1>
      <formula2>360</formula2>
    </dataValidation>
    <dataValidation type="whole" allowBlank="1" showInputMessage="1" showErrorMessage="1" promptTitle="Durée :" prompt="Saisissez un chiffre de 1 à 10 !" errorTitle="Erruer de saisie" error="Le chiffre saisi doit être compris entre 1 et 10 !" sqref="G4">
      <formula1>1</formula1>
      <formula2>10</formula2>
    </dataValidation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6:E7">
      <formula1>1</formula1>
      <formula2>402133</formula2>
    </dataValidation>
    <dataValidation allowBlank="1" showInputMessage="1" showErrorMessage="1" promptTitle="Format de date" errorTitle="Erreur de saisie" sqref="E5 E8"/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2006-11-11T19:06:02Z</dcterms:modified>
  <cp:category/>
  <cp:version/>
  <cp:contentType/>
  <cp:contentStatus/>
</cp:coreProperties>
</file>